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300" yWindow="60" windowWidth="16665" windowHeight="10395" activeTab="0"/>
  </bookViews>
  <sheets>
    <sheet name="Sheet1" sheetId="1" r:id="rId1"/>
  </sheets>
  <definedNames>
    <definedName name="corrs">'Sheet1'!$A$160</definedName>
    <definedName name="logmeans">'Sheet1'!$A$117</definedName>
    <definedName name="means">'Sheet1'!$A$92</definedName>
    <definedName name="ratios">'Sheet1'!$A$136</definedName>
    <definedName name="ratioSDs">'Sheet1'!#REF!</definedName>
    <definedName name="SDs">'Sheet1'!#REF!</definedName>
  </definedNames>
  <calcPr fullCalcOnLoad="1"/>
</workbook>
</file>

<file path=xl/comments1.xml><?xml version="1.0" encoding="utf-8"?>
<comments xmlns="http://schemas.openxmlformats.org/spreadsheetml/2006/main">
  <authors>
    <author>Reviewer</author>
    <author>Will Hopkins</author>
    <author>Will</author>
  </authors>
  <commentList>
    <comment ref="E51" authorId="0">
      <text>
        <r>
          <rPr>
            <sz val="8"/>
            <rFont val="Tahoma"/>
            <family val="2"/>
          </rPr>
          <t>The chance of harm has to be less than this value for an effect to be clinically beneficial.  That is, the effect can be clinically beneficial only when it is most unlikely to be harmful.</t>
        </r>
      </text>
    </comment>
    <comment ref="I51" authorId="0">
      <text>
        <r>
          <rPr>
            <sz val="8"/>
            <rFont val="Tahoma"/>
            <family val="2"/>
          </rPr>
          <t>The chance of benefit has to be greater than this value for an effect to be clinically beneficial.  That is, the effect can be clinically beneficial only when it is at least possibly beneficial.</t>
        </r>
      </text>
    </comment>
    <comment ref="G51" authorId="0">
      <text>
        <r>
          <rPr>
            <sz val="8"/>
            <rFont val="Tahoma"/>
            <family val="2"/>
          </rPr>
          <t>For an effect to be mechanistically clear, the chance that the true effect is substantially positive OR the chance that the true effect is substantially negative has to be less than this value.  That is, the effect is clear when the true effect is either very unlikely to be positive or very unlikely to be negative.
This value also sets the level for the confidence limits: 5 produces 90% limits, 2.5 produces 95% limits, and so on.</t>
        </r>
      </text>
    </comment>
    <comment ref="B3" authorId="0">
      <text>
        <r>
          <rPr>
            <sz val="8"/>
            <rFont val="Tahoma"/>
            <family val="2"/>
          </rPr>
          <t>Reference and more info:  Hopkins WG (2007). A spreadsheet for deriving a confidence interval, mechanistic inference and clinical inference from a p value. Sportscience 11, 16-20 (sportsci.org/2007/wghinf.htm).</t>
        </r>
      </text>
    </comment>
    <comment ref="J4" authorId="0">
      <text>
        <r>
          <rPr>
            <sz val="8"/>
            <rFont val="Tahoma"/>
            <family val="2"/>
          </rPr>
          <t>July: clarified how this spreadsheet decides whether an effect is clinically clear using the ratio of odds of benefit to odds of harm.
April: added odds ratios for benefit/harm and how to use them.</t>
        </r>
      </text>
    </comment>
    <comment ref="L4" authorId="0">
      <text>
        <r>
          <rPr>
            <sz val="8"/>
            <rFont val="Tahoma"/>
            <family val="2"/>
          </rPr>
          <t>Dec: updated from original spreadsheet.</t>
        </r>
      </text>
    </comment>
    <comment ref="K4" authorId="0">
      <text>
        <r>
          <rPr>
            <sz val="8"/>
            <rFont val="Tahoma"/>
            <family val="2"/>
          </rPr>
          <t>July: clinical inferences now based by default on odds ratio of benefit to harm.</t>
        </r>
      </text>
    </comment>
    <comment ref="I4" authorId="1">
      <text>
        <r>
          <rPr>
            <sz val="8"/>
            <rFont val="Tahoma"/>
            <family val="2"/>
          </rPr>
          <t>Jan: fixed bug that could corrupt the text displaying the inference when rows are copied to make multiple inferences.</t>
        </r>
      </text>
    </comment>
    <comment ref="I59" authorId="2">
      <text>
        <r>
          <rPr>
            <sz val="8"/>
            <rFont val="Tahoma"/>
            <family val="2"/>
          </rPr>
          <t xml:space="preserve">The more inferences you make, the greater is the chance that you will make an error with at least one of them, as explained below.  The way to constrain this increase in error rate is by inserting the number of independent inferences here. The approach is equivalent to the Bonferroni adjustment to make the alpha level smaller for statistical significance. The price you pay for constraining the overall error rates with multiple inferences is an increase in the chance that you will have to declare effects unclear. The best solution is a bigger sample size.
With multiple inferences, I suggest you still show the default 90% confidence intervals and qualitative likelihoods for clear effects, but highlight those that would still be clear at the more conservative levels (e.g., the 100-10/5=98% level for five non-clinical effects, and with &lt;0.5/5=0.1% risk of harm for five clinical effects). You can highlight such effects in a table by showing them in </t>
        </r>
        <r>
          <rPr>
            <b/>
            <sz val="8"/>
            <rFont val="Tahoma"/>
            <family val="2"/>
          </rPr>
          <t>bold</t>
        </r>
        <r>
          <rPr>
            <sz val="8"/>
            <rFont val="Tahoma"/>
            <family val="2"/>
          </rPr>
          <t>, with an explanatory footnote.
For clinical inferences, there are two kinds of error: Type 1, when you decide to use an effect that is actually harmful; and Type 2, when you decide not to use an effect that is actually beneficial.  Default values for these errors are 0.5% and 25%.  For two inferences, halving these values keeps the overall error rates at 0.5% and 25% for the worst-case scenario of the true values of both effects being the smallest clinically important values. (More exactly, the error rates become 100*(1-(1-0.0025)^2) = 0.499% and 100*(1-(1-0.125)^2)=23.4%.)
You can consider the error rate with non-clinical inferences as simply the chance that the true value falls outside the confidence interval, which for 90% confidence limits is 10%. With two inferences, make a wider confidence interval: 95% rather than 90%. The chance that either true value is outside its interval goes down to 5% (from 10%), so the overall chance that one or both of them is outside is still only 5%+5% = 10%.    You can also consider the worst-case scenario Type-1 error rate as occurring when a marginally trivial value is declared definitively (i.e., very likely) substantial; similarly, the worst-case scenario Type-2 error rate occurs when a marginally substantial value is declare definitively not substantial (trivial or substantial of opposite sign).  Both error rates with 90% confidence limits are 5%, and with two inferences, you need to halve these rates for each inference.
The Bonferroni approach is based on the assumption that the multiple effects are independent. In reality, most effects are interdependent in a manner that the chances of making more than one error are less than the sum of the chances of the errors of each.  For example, if two effects are measuring exactly the same thing, and each has an error rate of 3%, the chances of two errors is only 3%, not 6%.  It follows that these approaches are more conservative than they need to be (that is, they overestimate the inflation of error), which is good for appeasing reviewers. Bootstrapping the overall Type-1 and Type-2 error rates is the only approach to take into account interdependence of effects, but it high-level programming in SAS or other stats package with the oriiginal data, which is out of the question for most researchers.</t>
        </r>
      </text>
    </comment>
    <comment ref="H4" authorId="1">
      <text>
        <r>
          <rPr>
            <b/>
            <sz val="8"/>
            <rFont val="Tahoma"/>
            <family val="2"/>
          </rPr>
          <t>Sept.</t>
        </r>
        <r>
          <rPr>
            <sz val="8"/>
            <rFont val="Tahoma"/>
            <family val="2"/>
          </rPr>
          <t xml:space="preserve"> Removed panel for comparing SDs, pending their more appropriate inclusion in the spreadsheet </t>
        </r>
        <r>
          <rPr>
            <b/>
            <sz val="8"/>
            <rFont val="Tahoma"/>
            <family val="2"/>
          </rPr>
          <t>Combine/compare effects</t>
        </r>
        <r>
          <rPr>
            <sz val="8"/>
            <rFont val="Tahoma"/>
            <family val="2"/>
          </rPr>
          <t xml:space="preserve">. </t>
        </r>
      </text>
    </comment>
    <comment ref="G4" authorId="1">
      <text>
        <r>
          <rPr>
            <b/>
            <sz val="8"/>
            <rFont val="Tahoma"/>
            <family val="2"/>
          </rPr>
          <t>Sept.</t>
        </r>
        <r>
          <rPr>
            <sz val="8"/>
            <rFont val="Tahoma"/>
            <family val="2"/>
          </rPr>
          <t xml:space="preserve"> Added various error messages when users insert impossible threshold values.
</t>
        </r>
      </text>
    </comment>
    <comment ref="K149" authorId="2">
      <text>
        <r>
          <rPr>
            <sz val="9"/>
            <rFont val="Tahoma"/>
            <family val="2"/>
          </rPr>
          <t>The ± form is only approximate, especially for small number of subjects (&lt;20).</t>
        </r>
      </text>
    </comment>
    <comment ref="K155" authorId="2">
      <text>
        <r>
          <rPr>
            <sz val="9"/>
            <rFont val="Tahoma"/>
            <family val="2"/>
          </rPr>
          <t>The ± form is only approximate, especially for small number of subjects (&lt;20).</t>
        </r>
      </text>
    </comment>
    <comment ref="K151" authorId="2">
      <text>
        <r>
          <rPr>
            <sz val="9"/>
            <rFont val="Tahoma"/>
            <family val="2"/>
          </rPr>
          <t>The ± form is only approximate, especially for small number of subjects (&lt;20).</t>
        </r>
      </text>
    </comment>
    <comment ref="K157" authorId="2">
      <text>
        <r>
          <rPr>
            <sz val="9"/>
            <rFont val="Tahoma"/>
            <family val="2"/>
          </rPr>
          <t>The ± form is only approximate, especially for small number of subjects (&lt;20).</t>
        </r>
      </text>
    </comment>
    <comment ref="F4" authorId="1">
      <text>
        <r>
          <rPr>
            <b/>
            <sz val="8"/>
            <rFont val="Tahoma"/>
            <family val="2"/>
          </rPr>
          <t>May:</t>
        </r>
        <r>
          <rPr>
            <sz val="8"/>
            <rFont val="Tahoma"/>
            <family val="2"/>
          </rPr>
          <t xml:space="preserve"> In the description of magnitude-based decisions, </t>
        </r>
        <r>
          <rPr>
            <i/>
            <sz val="8"/>
            <rFont val="Tahoma"/>
            <family val="2"/>
          </rPr>
          <t>clear</t>
        </r>
        <r>
          <rPr>
            <sz val="8"/>
            <rFont val="Tahoma"/>
            <family val="2"/>
          </rPr>
          <t xml:space="preserve"> has been reinstated as a description of effects with adequate precision. Researchers should be careful to distinguish between clear effects and clear magnitudes. A clear effect that is ambiguously or weakly compatible with substantial is not clearly substantial or trivial. A clearly substantial or clearly trivial magnitude is one that is moderately or strongly compatible with substantial or trivial. See the article on </t>
        </r>
        <r>
          <rPr>
            <b/>
            <sz val="8"/>
            <rFont val="Tahoma"/>
            <family val="2"/>
          </rPr>
          <t>MBD as hypothesis tests</t>
        </r>
        <r>
          <rPr>
            <sz val="8"/>
            <rFont val="Tahoma"/>
            <family val="2"/>
          </rPr>
          <t xml:space="preserve"> in the 2020 issue.</t>
        </r>
        <r>
          <rPr>
            <b/>
            <sz val="8"/>
            <rFont val="Tahoma"/>
            <family val="2"/>
          </rPr>
          <t xml:space="preserve">
Feb:</t>
        </r>
        <r>
          <rPr>
            <sz val="8"/>
            <rFont val="Tahoma"/>
            <family val="2"/>
          </rPr>
          <t xml:space="preserve"> Replaced the Bayesian interpretation of MBI with the frequentist interpretation of MBD. </t>
        </r>
        <r>
          <rPr>
            <i/>
            <sz val="8"/>
            <rFont val="Tahoma"/>
            <family val="2"/>
          </rPr>
          <t>Confidence</t>
        </r>
        <r>
          <rPr>
            <sz val="8"/>
            <rFont val="Tahoma"/>
            <family val="2"/>
          </rPr>
          <t xml:space="preserve"> replaced by </t>
        </r>
        <r>
          <rPr>
            <i/>
            <sz val="8"/>
            <rFont val="Tahoma"/>
            <family val="2"/>
          </rPr>
          <t>compatibility.</t>
        </r>
        <r>
          <rPr>
            <sz val="8"/>
            <rFont val="Tahoma"/>
            <family val="2"/>
          </rPr>
          <t xml:space="preserve"> Effects previously described as clear now described as effects with adequate precision. (</t>
        </r>
        <r>
          <rPr>
            <i/>
            <sz val="8"/>
            <rFont val="Tahoma"/>
            <family val="2"/>
          </rPr>
          <t xml:space="preserve">Clear </t>
        </r>
        <r>
          <rPr>
            <sz val="8"/>
            <rFont val="Tahoma"/>
            <family val="2"/>
          </rPr>
          <t xml:space="preserve">should be reserved for magnitudes that are moderately or strongly compatible with substantial or trivial.). For clinical effects with adequate precision, </t>
        </r>
        <r>
          <rPr>
            <i/>
            <sz val="8"/>
            <rFont val="Tahoma"/>
            <family val="2"/>
          </rPr>
          <t>use</t>
        </r>
        <r>
          <rPr>
            <sz val="8"/>
            <rFont val="Tahoma"/>
            <family val="2"/>
          </rPr>
          <t xml:space="preserve"> has been replaced by </t>
        </r>
        <r>
          <rPr>
            <i/>
            <sz val="8"/>
            <rFont val="Tahoma"/>
            <family val="2"/>
          </rPr>
          <t>consider using</t>
        </r>
        <r>
          <rPr>
            <sz val="8"/>
            <rFont val="Tahoma"/>
            <family val="2"/>
          </rPr>
          <t>.</t>
        </r>
      </text>
    </comment>
  </commentList>
</comments>
</file>

<file path=xl/sharedStrings.xml><?xml version="1.0" encoding="utf-8"?>
<sst xmlns="http://schemas.openxmlformats.org/spreadsheetml/2006/main" count="297" uniqueCount="148">
  <si>
    <r>
      <t xml:space="preserve">Insert your data in empty white cells.  Your data will appear in </t>
    </r>
    <r>
      <rPr>
        <b/>
        <sz val="10"/>
        <color indexed="12"/>
        <rFont val="Arial"/>
        <family val="2"/>
      </rPr>
      <t>blue</t>
    </r>
    <r>
      <rPr>
        <sz val="10"/>
        <color indexed="12"/>
        <rFont val="Arial"/>
        <family val="2"/>
      </rPr>
      <t>,</t>
    </r>
    <r>
      <rPr>
        <sz val="10"/>
        <rFont val="Arial"/>
        <family val="2"/>
      </rPr>
      <t xml:space="preserve"> as in the examples.</t>
    </r>
  </si>
  <si>
    <t>In a manuscript you will need to include the zero and remove an occasional extra decimal trailing digit produced by the rounding procedure.</t>
  </si>
  <si>
    <t>where r is the correlation coefficient and n is the sample size. (You don't need the p value here.)</t>
  </si>
  <si>
    <t>where df=degrees of freedom, s is the sample standard deviation, and sigma is the population standard deviation.</t>
  </si>
  <si>
    <t xml:space="preserve">An example is shown for each kind of statistic, followed by rows of cells for your data. </t>
  </si>
  <si>
    <r>
      <t xml:space="preserve">Results appear in </t>
    </r>
    <r>
      <rPr>
        <b/>
        <sz val="10"/>
        <color indexed="10"/>
        <rFont val="Arial"/>
        <family val="2"/>
      </rPr>
      <t>red</t>
    </r>
    <r>
      <rPr>
        <sz val="10"/>
        <rFont val="Arial"/>
        <family val="2"/>
      </rPr>
      <t xml:space="preserve"> in cells with pale colored backgrounds.</t>
    </r>
  </si>
  <si>
    <t>It is based on the assumption that, if you repeated your study many times, the log of the effect statistic would have a normal sampling distribution.</t>
  </si>
  <si>
    <t>It is based on the fact that, if you repeated your study many times, the sampling distribution of z=0.5log((1+r)/(1-r)) would be approximately normally with variance 1/(n-3),</t>
  </si>
  <si>
    <t>The calculations don't work if p is exactly 1 or if you enter effects as exactly zero (or 1 for ratios).  Try to include some decimal places from the stats package.</t>
  </si>
  <si>
    <t>You also need the number of degrees of freedom for the effect statistic. If you don't have a value, here's how to work it out:</t>
  </si>
  <si>
    <t>descriptive study: sum of (number of subjects in each group minus 1);</t>
  </si>
  <si>
    <t>simple crossover or paired t-test design: number of subjects minus 1;</t>
  </si>
  <si>
    <t>multiple crossover: (number of treatments minus 1)x(number of subjects minus 1);</t>
  </si>
  <si>
    <t>parallel-groups trial: treat each group as a simple or multiple crossover, then add the degrees of freedom for each group.</t>
  </si>
  <si>
    <t>Enter values of statistics with one more significant digit than you would normally publish, to avoid substantial rounding errors.</t>
  </si>
  <si>
    <t>Use this method for effect statistics like differences in means, changes in means, or differences between changes in means.</t>
  </si>
  <si>
    <t>IMPORTANT: Use the p value for the statistic, not the p value for the whole model or for any effect in the model other than the statistic.</t>
  </si>
  <si>
    <t>deg. of</t>
  </si>
  <si>
    <t>negligible or
trivial</t>
  </si>
  <si>
    <t>freedom</t>
  </si>
  <si>
    <t>level (%)</t>
  </si>
  <si>
    <t xml:space="preserve">lower </t>
  </si>
  <si>
    <t xml:space="preserve">upper </t>
  </si>
  <si>
    <t xml:space="preserve"> "±"</t>
  </si>
  <si>
    <t>log of</t>
  </si>
  <si>
    <r>
      <t>"</t>
    </r>
    <r>
      <rPr>
        <sz val="10"/>
        <rFont val="Symbol"/>
        <family val="1"/>
      </rPr>
      <t>´¤¸</t>
    </r>
    <r>
      <rPr>
        <sz val="10"/>
        <rFont val="Arial"/>
        <family val="2"/>
      </rPr>
      <t>"</t>
    </r>
  </si>
  <si>
    <t>positive</t>
  </si>
  <si>
    <t>negative</t>
  </si>
  <si>
    <t xml:space="preserve">Reference: Fisher RA (1921). On the probable error of a coefficient of correlation deduced from a small sample. Metron 1, 3-32. </t>
  </si>
  <si>
    <t>The default threshold r is 0.1, which is Cohen's (and my) opinion of the value of the smallest clinically important correlation.</t>
  </si>
  <si>
    <t>+z for</t>
  </si>
  <si>
    <t>-z for</t>
  </si>
  <si>
    <t>z-d</t>
  </si>
  <si>
    <t>z+d</t>
  </si>
  <si>
    <t>threshold</t>
  </si>
  <si>
    <t>For a simple standard deviation, degrees of freedom = number of subjects minus 1.</t>
  </si>
  <si>
    <t>RMSE</t>
  </si>
  <si>
    <t>lower</t>
  </si>
  <si>
    <t>upper</t>
  </si>
  <si>
    <t>Outcome expressed as either…</t>
  </si>
  <si>
    <t>Degrees of freedom</t>
  </si>
  <si>
    <t>Value of effect statistic</t>
  </si>
  <si>
    <t>P
value</t>
  </si>
  <si>
    <t>Threshold values for...</t>
  </si>
  <si>
    <t>effect</t>
  </si>
  <si>
    <t>"×/÷"</t>
  </si>
  <si>
    <t>Number of subjects</t>
  </si>
  <si>
    <t>SE</t>
  </si>
  <si>
    <t>Fisher</t>
  </si>
  <si>
    <t>z</t>
  </si>
  <si>
    <t>Threshold values for…</t>
  </si>
  <si>
    <t xml:space="preserve">SD, CV or </t>
  </si>
  <si>
    <r>
      <t>benefit</t>
    </r>
    <r>
      <rPr>
        <b/>
        <sz val="8"/>
        <color indexed="20"/>
        <rFont val="Arial"/>
        <family val="2"/>
      </rPr>
      <t xml:space="preserve"> or</t>
    </r>
  </si>
  <si>
    <r>
      <t>harm</t>
    </r>
    <r>
      <rPr>
        <b/>
        <sz val="8"/>
        <color indexed="17"/>
        <rFont val="Arial"/>
        <family val="2"/>
      </rPr>
      <t xml:space="preserve"> or</t>
    </r>
  </si>
  <si>
    <t>For an RMSE, use the degrees of freedom provided by the stats program.</t>
  </si>
  <si>
    <t>This method works for Pearson and intraclass correlation coefficients.</t>
  </si>
  <si>
    <t>When you provide the threshold for benefit, the threshold for harm is generated automatically.</t>
  </si>
  <si>
    <t>How to Use this Spreadsheet</t>
  </si>
  <si>
    <t>Value of  correl. coeff.</t>
  </si>
  <si>
    <t>It is based on the assumption that, if you repeated your study many times, the effect statistic would have a normal (actually a t) sampling distribution.</t>
  </si>
  <si>
    <t>log of ref value
for chancess</t>
  </si>
  <si>
    <r>
      <t xml:space="preserve">The cells in </t>
    </r>
    <r>
      <rPr>
        <b/>
        <sz val="10"/>
        <color indexed="20"/>
        <rFont val="Arial"/>
        <family val="2"/>
      </rPr>
      <t>plum</t>
    </r>
    <r>
      <rPr>
        <sz val="10"/>
        <rFont val="Arial"/>
        <family val="2"/>
      </rPr>
      <t xml:space="preserve"> change when you enter data in an appropriate connected cell.  These cells usually don't need changing directly, but you can change them.</t>
    </r>
  </si>
  <si>
    <t>IMPORTANT: For statistics from &gt;2x2 tables, use the p value for the risk or odds ratio, not the p value for the whole frequency table.</t>
  </si>
  <si>
    <t>1.  Raw Difference between Means and other t-Distributed Effect Statistics</t>
  </si>
  <si>
    <t>A negative percent is represented by a factor &lt;1 (e.g., -23% = 1-23/100 = 0.77).</t>
  </si>
  <si>
    <t>Read the notes in the above section about degrees of freedom.</t>
  </si>
  <si>
    <t>Value of effect as a factor</t>
  </si>
  <si>
    <t>Use this section for a difference or change in means expressed as a factor or as a percent when it is &gt;10%.  Otherwise use the above section.</t>
  </si>
  <si>
    <t>Express a percent effect as a factor (e.g., 7%=1.07, 23%=1.23, 165%=2.65) before entering it in the spreadsheet.</t>
  </si>
  <si>
    <t>Make sure you express the threshold values as factors, too.</t>
  </si>
  <si>
    <t>4.  Correlation Coefficient</t>
  </si>
  <si>
    <t>5.  Standard Deviation (SD), Coefficient of Variation (CV), or Root Mean Square Error (RMSE)</t>
  </si>
  <si>
    <t>1. Difference between Means and other t-Distributed Effect Statistics</t>
  </si>
  <si>
    <t>2. Percent and Factor Difference between Means and other Log t-Distributed Effect Statistics</t>
  </si>
  <si>
    <t>2.  Percent and Factor Difference between Means and other Log t-Distributed Effect Statistics</t>
  </si>
  <si>
    <t>3.  Rate Ratio and other Log-Normally Distributed Effect Statistics</t>
  </si>
  <si>
    <t>3. Rate Ratios and other Log-Normally Distributed Effect Statistics</t>
  </si>
  <si>
    <t>4. Correlation Coefficient</t>
  </si>
  <si>
    <t>5. Standard Deviation (SD), Coefficient of Variation (CV), or Root Mean Square Error (RMSE)</t>
  </si>
  <si>
    <t>It is based on the assumption that, if you repeated your study many times, the log of the factor effect would have a normal (actually a t) sampling distribution.</t>
  </si>
  <si>
    <t>(For some simple models, the p value for the statistic is the same as the p value for the model.)</t>
  </si>
  <si>
    <t>(Remember to Ctrl-z or otherwise undo any changes you make to such cells, or you will lose the formulae therein for any further calculations.)</t>
  </si>
  <si>
    <r>
      <t xml:space="preserve">The threshold for benefit can be positive ("+ive") or negative ("–ive"), </t>
    </r>
    <r>
      <rPr>
        <sz val="10"/>
        <rFont val="Arial"/>
        <family val="2"/>
      </rPr>
      <t>or for ratios, an increase ("&gt;") or decrease ("&lt;").</t>
    </r>
  </si>
  <si>
    <r>
      <t>Hover cursor</t>
    </r>
    <r>
      <rPr>
        <sz val="10"/>
        <rFont val="Arial"/>
        <family val="2"/>
      </rPr>
      <t xml:space="preserve"> for citation.</t>
    </r>
  </si>
  <si>
    <r>
      <t>Hover cursor</t>
    </r>
    <r>
      <rPr>
        <sz val="10"/>
        <rFont val="Arial"/>
        <family val="2"/>
      </rPr>
      <t xml:space="preserve"> for updates:</t>
    </r>
  </si>
  <si>
    <t>(Replace N with the number of degrees of freedom of the error term plus 2.)</t>
  </si>
  <si>
    <t>For each effect, you also have to provide a threshold value for clinical benefit or non-clinical substantiveness (the smallest important effect).</t>
  </si>
  <si>
    <t>¯</t>
  </si>
  <si>
    <t>Modify decimal places with these cells.</t>
  </si>
  <si>
    <r>
      <t xml:space="preserve">Modify decimal places in cells on right </t>
    </r>
    <r>
      <rPr>
        <sz val="9"/>
        <rFont val="Symbol"/>
        <family val="1"/>
      </rPr>
      <t>®</t>
    </r>
  </si>
  <si>
    <t>Some SDs derived from mixed models have sampling distributions based on the fact that the SD^2 has as approximately normal distribution.</t>
  </si>
  <si>
    <t>Both kinds of SD can be evaluated for their magnitude, on the basis that the magnitude thresholds are half those used to evaluate means.</t>
  </si>
  <si>
    <t>strongly reject</t>
  </si>
  <si>
    <t>moderately reject</t>
  </si>
  <si>
    <t>weakly reject</t>
  </si>
  <si>
    <t>ambiguous</t>
  </si>
  <si>
    <t>strongly compatible</t>
  </si>
  <si>
    <t>moderately compatible</t>
  </si>
  <si>
    <t>weakly compatible</t>
  </si>
  <si>
    <t>The statistic and its compatibility interval and limits are rounded to an appropriate number of digits, but Excel drops off any trailing zero.</t>
  </si>
  <si>
    <t>(A mistake with degrees of freedom has little effect on compatibility limits or chances, especially for &gt;20 degrees of freedom.)</t>
  </si>
  <si>
    <t>Convert the derived factor and compatibility limits back into percents if they are &lt;~1.5 or &gt;~0.5; otherwise report them as factors.</t>
  </si>
  <si>
    <t>Use this method also for the compatibility limits of R: the square root of the R squared for a model.</t>
  </si>
  <si>
    <t>The "±" version of compatibility limits is approximate only, because the compatibility interval is asymmetric about the observed correlation.</t>
  </si>
  <si>
    <t>This section generates compatibility limits for an SD using its degrees of freedom.</t>
  </si>
  <si>
    <t>The compatibility limits here are based on the fact that the sampling distribution of df.(s/sigma)^2 is the chi-squared distribution,</t>
  </si>
  <si>
    <t>The "×/÷" version of the compatibility limits becomes a more crude approximation for the asymmetric compatibility interval as df falls below 10.</t>
  </si>
  <si>
    <t>Compatibility Limits</t>
  </si>
  <si>
    <t>Compatibility limits</t>
  </si>
  <si>
    <t>and substantially positive (or increase) and substantially negative (or decrease) for effects that are not implementable, such as differences between population subgroups.</t>
  </si>
  <si>
    <t>There are two tests of hypotheses of substantial magnitudes: harmful and beneficial, for effects that could result in an intervention, such as implementation of a treatment;</t>
  </si>
  <si>
    <t>For additional decisions, highlight the entire rows containing the block of grey, white and colored cells, copy, then right-click/insert copied cells.</t>
  </si>
  <si>
    <t>If you are performing multiple independent decisions, the chances of making at least one inferential error increase.</t>
  </si>
  <si>
    <t>Enter the number of independent decisions here:</t>
  </si>
  <si>
    <t>This section therefore needs to be updated to include magnitude-based decisions for SDs.</t>
  </si>
  <si>
    <t>This spreadsheet contains brief information on compatibility limits and magnitude-based decisions,</t>
  </si>
  <si>
    <t>followed by sections for deriving compatibility limits and decisions for each of the following kinds of statistic (click to link):</t>
  </si>
  <si>
    <t>For example, a p value of 0.67 (67%) for rejecting the beneficial hypothesis implies the effect is "ambiguous" beneficial.</t>
  </si>
  <si>
    <t>The spreadsheet assigns these values their correct sign and uses them for clinical and non-clinical decisions.</t>
  </si>
  <si>
    <t>Level (%) for comp. limits</t>
  </si>
  <si>
    <t>comp.</t>
  </si>
  <si>
    <t xml:space="preserve"> Hover the cursor for more on inferential error rates. </t>
  </si>
  <si>
    <t>Choose the level (%) for compatibility limits:</t>
  </si>
  <si>
    <t>The level is set here by default to 90%; that is, the chances are 90% that the compatibility interval encloses the true value.</t>
  </si>
  <si>
    <t>If both p values are above the levels for rejection of the substantial hypotheses, neither hypothesis is rejected, and the effect is therefore deemed unclear, as follows:</t>
  </si>
  <si>
    <t>P value (%) for testing the hypothesis that the effect is…</t>
  </si>
  <si>
    <t>The true value is the value you would get with a very large sample. It is also known as the population value.</t>
  </si>
  <si>
    <t xml:space="preserve">These tests can also be expressed in terms of "coverage" of compatibility intervals: if the interval includes substantial values, you cannot reject the substantial hypothesis, </t>
  </si>
  <si>
    <t xml:space="preserve">You can make all the tests in the spreadsheet more or less conservative by changing the level of compatibility limits or by changing individual values of levels in the above scale.  </t>
  </si>
  <si>
    <t>You can constrain the error rate to that for a single decision by dividing the rejection thresholds by the number of decisions.</t>
  </si>
  <si>
    <t>The level you choose sets p-value thresholds for testing hypotheses that the effect is substantial and thereby for making a decision about the magnitude, as explained below.</t>
  </si>
  <si>
    <t>Compatibility limits define an interval or range of true values of an effect statistic that are compatible with the data and the analytical model used to derive the effect.</t>
  </si>
  <si>
    <t>The compatibility limits (or interval) are derived from the traditional p value by making the same statistical assumptions that a stats package uses to derive the traditional p value.</t>
  </si>
  <si>
    <t>Magnitude-based decisions (MBD)</t>
  </si>
  <si>
    <t>The decision can also be based on equivalent p values in frequentist interval hypothesis tests. Expressed as percent levels, the p values are the same as the chances.</t>
  </si>
  <si>
    <t>In the Bayesian version of this spreadsheet, a decision about the magnitude of an effect is based on chances that the true magnitude is substantial in some positive and negative sense.</t>
  </si>
  <si>
    <t xml:space="preserve">For consistency with the equivalent hypothesis tests, the descriptions of the chances are described here as levels of the hypothesis tests.  </t>
  </si>
  <si>
    <r>
      <t xml:space="preserve">The Bayesian version is available via a link in the article accompanying this spreadsheet (https://sportsci.org/2007/wghinf.htm). See </t>
    </r>
    <r>
      <rPr>
        <b/>
        <sz val="10"/>
        <rFont val="Arial"/>
        <family val="2"/>
      </rPr>
      <t>Update Jan 2020</t>
    </r>
    <r>
      <rPr>
        <sz val="10"/>
        <rFont val="Arial"/>
        <family val="2"/>
      </rPr>
      <t xml:space="preserve"> in the article for more info. </t>
    </r>
  </si>
  <si>
    <t>The levels of rejection and compatibility are determined with this scale showing threshold p values in percent units:</t>
  </si>
  <si>
    <t>(If compatibility is ambiguous for both substantial and trivial magnitudes, the spreadsheet shows only ambiguous substantial.)</t>
  </si>
  <si>
    <r>
      <t xml:space="preserve">For decisions when you have compatibility limits but no p value, use the </t>
    </r>
    <r>
      <rPr>
        <b/>
        <sz val="10"/>
        <rFont val="Arial"/>
        <family val="2"/>
      </rPr>
      <t>Combine/compare effects</t>
    </r>
    <r>
      <rPr>
        <sz val="10"/>
        <rFont val="Arial"/>
        <family val="2"/>
      </rPr>
      <t xml:space="preserve"> spreadsheet (use the sheet for 1 or more groups).</t>
    </r>
  </si>
  <si>
    <t>Use this spreadsheet to convert a p value from a classic null-hypothesis test into compatibility limits for, and decisions about, the true (large-sample) value of an effect statistic.</t>
  </si>
  <si>
    <t>COMPATIBILITY LIMITS AND MAGNITUDE-BASED DECISIONS FROM P VALUES (Frequentist Version)</t>
  </si>
  <si>
    <t>Link to the Bayesian version of this spreadsheet.</t>
  </si>
  <si>
    <t>Changing these numbers won't change the p values of the tests, but it may make the effect unclear or change the level of compatibility.</t>
  </si>
  <si>
    <t>Otherwise the effect is clear or decisive (has adequate precision), and the spreadsheet provides the level of compatibility of the data and analysis with either a substantial magnitude or a trivial magnitude.</t>
  </si>
  <si>
    <r>
      <t xml:space="preserve">For more on thresholds for important effects, see the article on </t>
    </r>
    <r>
      <rPr>
        <b/>
        <sz val="10"/>
        <color indexed="60"/>
        <rFont val="Arial"/>
        <family val="2"/>
      </rPr>
      <t>Linear Models and Effect Magnitudes</t>
    </r>
    <r>
      <rPr>
        <sz val="10"/>
        <color indexed="60"/>
        <rFont val="Arial"/>
        <family val="2"/>
      </rPr>
      <t xml:space="preserve"> at https://www.sportsci.org/2010/wghlinmod.htm.</t>
    </r>
  </si>
  <si>
    <t>Use this method for effect statistics like ratios of counts, rates, risks, odds or hazards.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</si>
</sst>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000000"/>
    <numFmt numFmtId="175" formatCode="0.000000"/>
    <numFmt numFmtId="176" formatCode="0.00000"/>
    <numFmt numFmtId="177" formatCode="0.0000"/>
  </numFmts>
  <fonts count="74">
    <font>
      <sz val="10"/>
      <name val="Arial"/>
      <family val="0"/>
    </font>
    <font>
      <sz val="11"/>
      <name val="Arial"/>
      <family val="2"/>
    </font>
    <font>
      <b/>
      <sz val="11"/>
      <name val="Arial"/>
      <family val="2"/>
    </font>
    <font>
      <b/>
      <sz val="10"/>
      <color indexed="20"/>
      <name val="Arial"/>
      <family val="2"/>
    </font>
    <font>
      <b/>
      <sz val="10"/>
      <color indexed="12"/>
      <name val="Arial"/>
      <family val="2"/>
    </font>
    <font>
      <b/>
      <sz val="10"/>
      <color indexed="10"/>
      <name val="Arial"/>
      <family val="2"/>
    </font>
    <font>
      <sz val="10"/>
      <name val="Symbol"/>
      <family val="1"/>
    </font>
    <font>
      <b/>
      <sz val="10"/>
      <name val="Arial"/>
      <family val="2"/>
    </font>
    <font>
      <sz val="10"/>
      <color indexed="57"/>
      <name val="Arial"/>
      <family val="2"/>
    </font>
    <font>
      <b/>
      <sz val="10"/>
      <color indexed="53"/>
      <name val="Arial"/>
      <family val="2"/>
    </font>
    <font>
      <sz val="10"/>
      <color indexed="12"/>
      <name val="Arial"/>
      <family val="2"/>
    </font>
    <font>
      <sz val="10"/>
      <color indexed="61"/>
      <name val="Arial"/>
      <family val="2"/>
    </font>
    <font>
      <sz val="9"/>
      <name val="Arial"/>
      <family val="2"/>
    </font>
    <font>
      <b/>
      <sz val="10"/>
      <color indexed="61"/>
      <name val="Arial"/>
      <family val="2"/>
    </font>
    <font>
      <sz val="9"/>
      <color indexed="10"/>
      <name val="Arial"/>
      <family val="2"/>
    </font>
    <font>
      <sz val="10"/>
      <color indexed="20"/>
      <name val="Arial"/>
      <family val="2"/>
    </font>
    <font>
      <b/>
      <sz val="10"/>
      <color indexed="60"/>
      <name val="Arial"/>
      <family val="2"/>
    </font>
    <font>
      <sz val="10"/>
      <color indexed="10"/>
      <name val="Arial"/>
      <family val="2"/>
    </font>
    <font>
      <sz val="8"/>
      <name val="Arial"/>
      <family val="2"/>
    </font>
    <font>
      <u val="single"/>
      <sz val="7.5"/>
      <color indexed="36"/>
      <name val="Arial"/>
      <family val="2"/>
    </font>
    <font>
      <b/>
      <sz val="9"/>
      <color indexed="20"/>
      <name val="Arial"/>
      <family val="2"/>
    </font>
    <font>
      <b/>
      <sz val="8"/>
      <color indexed="20"/>
      <name val="Arial"/>
      <family val="2"/>
    </font>
    <font>
      <b/>
      <sz val="9"/>
      <color indexed="17"/>
      <name val="Arial"/>
      <family val="2"/>
    </font>
    <font>
      <b/>
      <sz val="8"/>
      <color indexed="17"/>
      <name val="Arial"/>
      <family val="2"/>
    </font>
    <font>
      <b/>
      <sz val="9"/>
      <color indexed="54"/>
      <name val="Arial"/>
      <family val="2"/>
    </font>
    <font>
      <u val="single"/>
      <sz val="10"/>
      <color indexed="12"/>
      <name val="Arial"/>
      <family val="2"/>
    </font>
    <font>
      <sz val="8"/>
      <name val="Tahoma"/>
      <family val="2"/>
    </font>
    <font>
      <sz val="9"/>
      <name val="Symbol"/>
      <family val="1"/>
    </font>
    <font>
      <b/>
      <sz val="8"/>
      <name val="Tahoma"/>
      <family val="2"/>
    </font>
    <font>
      <sz val="9"/>
      <name val="Tahoma"/>
      <family val="2"/>
    </font>
    <font>
      <i/>
      <sz val="8"/>
      <name val="Tahoma"/>
      <family val="2"/>
    </font>
    <font>
      <sz val="10"/>
      <color indexed="6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25"/>
      <name val="Arial"/>
      <family val="2"/>
    </font>
    <font>
      <b/>
      <sz val="10"/>
      <color indexed="2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0"/>
      <color rgb="FF0000FF"/>
      <name val="Arial"/>
      <family val="2"/>
    </font>
    <font>
      <b/>
      <sz val="10"/>
      <color rgb="FF993366"/>
      <name val="Arial"/>
      <family val="2"/>
    </font>
    <font>
      <b/>
      <sz val="10"/>
      <color theme="4" tint="0.7999799847602844"/>
      <name val="Arial"/>
      <family val="2"/>
    </font>
    <font>
      <sz val="10"/>
      <color rgb="FFC00000"/>
      <name val="Arial"/>
      <family val="2"/>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3"/>
        <bgColor indexed="64"/>
      </patternFill>
    </fill>
    <fill>
      <patternFill patternType="solid">
        <fgColor indexed="41"/>
        <bgColor indexed="64"/>
      </patternFill>
    </fill>
    <fill>
      <patternFill patternType="solid">
        <fgColor indexed="44"/>
        <bgColor indexed="64"/>
      </patternFill>
    </fill>
    <fill>
      <patternFill patternType="solid">
        <fgColor theme="0" tint="-0.24997000396251678"/>
        <bgColor indexed="64"/>
      </patternFill>
    </fill>
    <fill>
      <patternFill patternType="solid">
        <fgColor indexed="4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19"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5"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48">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0" fontId="1" fillId="0" borderId="0" xfId="0" applyFont="1" applyBorder="1" applyAlignment="1">
      <alignment/>
    </xf>
    <xf numFmtId="0" fontId="7" fillId="0" borderId="0" xfId="0" applyFont="1" applyAlignment="1">
      <alignment/>
    </xf>
    <xf numFmtId="0" fontId="7" fillId="0" borderId="0" xfId="0" applyFont="1" applyBorder="1" applyAlignment="1">
      <alignment/>
    </xf>
    <xf numFmtId="0" fontId="8" fillId="0" borderId="0" xfId="0" applyFont="1" applyAlignment="1">
      <alignment/>
    </xf>
    <xf numFmtId="0" fontId="8" fillId="0" borderId="0" xfId="0" applyFont="1" applyBorder="1" applyAlignment="1">
      <alignment/>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4" fillId="0" borderId="10" xfId="0" applyNumberFormat="1" applyFont="1" applyBorder="1" applyAlignment="1">
      <alignment horizontal="center"/>
    </xf>
    <xf numFmtId="173" fontId="15" fillId="0" borderId="0" xfId="0" applyNumberFormat="1" applyFont="1" applyFill="1" applyBorder="1" applyAlignment="1">
      <alignment horizontal="center"/>
    </xf>
    <xf numFmtId="0" fontId="0" fillId="0" borderId="0" xfId="0" applyFont="1" applyBorder="1" applyAlignment="1">
      <alignment horizontal="left"/>
    </xf>
    <xf numFmtId="174" fontId="8" fillId="0" borderId="0" xfId="0" applyNumberFormat="1" applyFont="1" applyAlignment="1">
      <alignment/>
    </xf>
    <xf numFmtId="0" fontId="0" fillId="32" borderId="11" xfId="0" applyFont="1" applyFill="1" applyBorder="1" applyAlignment="1">
      <alignment horizontal="center"/>
    </xf>
    <xf numFmtId="0" fontId="0" fillId="32" borderId="12" xfId="0" applyFont="1" applyFill="1" applyBorder="1" applyAlignment="1">
      <alignment horizontal="center" wrapText="1"/>
    </xf>
    <xf numFmtId="0" fontId="4" fillId="0" borderId="11" xfId="0" applyNumberFormat="1" applyFont="1" applyBorder="1" applyAlignment="1">
      <alignment horizontal="center"/>
    </xf>
    <xf numFmtId="0" fontId="0" fillId="0" borderId="0" xfId="0" applyFont="1" applyBorder="1" applyAlignment="1">
      <alignment/>
    </xf>
    <xf numFmtId="0" fontId="0" fillId="32" borderId="13" xfId="0" applyFont="1" applyFill="1" applyBorder="1" applyAlignment="1">
      <alignment/>
    </xf>
    <xf numFmtId="0" fontId="0" fillId="32" borderId="13" xfId="0" applyFont="1" applyFill="1" applyBorder="1" applyAlignment="1" quotePrefix="1">
      <alignment horizontal="center"/>
    </xf>
    <xf numFmtId="0" fontId="12" fillId="0" borderId="0" xfId="0" applyFont="1" applyAlignment="1">
      <alignment/>
    </xf>
    <xf numFmtId="0" fontId="0" fillId="32" borderId="14" xfId="0" applyFont="1" applyFill="1" applyBorder="1" applyAlignment="1">
      <alignment horizontal="center"/>
    </xf>
    <xf numFmtId="0" fontId="0" fillId="32" borderId="15" xfId="0" applyFont="1" applyFill="1" applyBorder="1" applyAlignment="1">
      <alignment horizontal="center"/>
    </xf>
    <xf numFmtId="0" fontId="4" fillId="0" borderId="16" xfId="0" applyFont="1" applyBorder="1" applyAlignment="1">
      <alignment horizontal="center"/>
    </xf>
    <xf numFmtId="2" fontId="4" fillId="0" borderId="17" xfId="0" applyNumberFormat="1" applyFont="1" applyBorder="1" applyAlignment="1">
      <alignment horizontal="center"/>
    </xf>
    <xf numFmtId="2" fontId="0" fillId="32" borderId="14" xfId="0" applyNumberFormat="1" applyFont="1" applyFill="1" applyBorder="1" applyAlignment="1">
      <alignment horizontal="center"/>
    </xf>
    <xf numFmtId="2" fontId="0" fillId="32" borderId="17" xfId="0" applyNumberFormat="1" applyFont="1" applyFill="1" applyBorder="1" applyAlignment="1">
      <alignment horizontal="center"/>
    </xf>
    <xf numFmtId="2" fontId="0" fillId="32" borderId="15" xfId="0" applyNumberFormat="1" applyFont="1" applyFill="1" applyBorder="1" applyAlignment="1">
      <alignment horizontal="center"/>
    </xf>
    <xf numFmtId="1" fontId="4" fillId="0" borderId="15" xfId="0" applyNumberFormat="1" applyFont="1" applyBorder="1" applyAlignment="1">
      <alignment horizontal="center"/>
    </xf>
    <xf numFmtId="0" fontId="4" fillId="0" borderId="14" xfId="0" applyNumberFormat="1" applyFont="1" applyBorder="1" applyAlignment="1">
      <alignment horizontal="center"/>
    </xf>
    <xf numFmtId="0" fontId="0" fillId="0" borderId="0" xfId="0" applyFont="1" applyBorder="1" applyAlignment="1">
      <alignment/>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0" fillId="0" borderId="0" xfId="0" applyFont="1" applyBorder="1" applyAlignment="1">
      <alignment horizontal="left" vertical="center"/>
    </xf>
    <xf numFmtId="11" fontId="12" fillId="0" borderId="0" xfId="0" applyNumberFormat="1" applyFont="1" applyAlignment="1">
      <alignment horizontal="right"/>
    </xf>
    <xf numFmtId="0" fontId="4" fillId="0" borderId="18" xfId="0" applyNumberFormat="1" applyFont="1" applyBorder="1" applyAlignment="1">
      <alignment horizontal="center"/>
    </xf>
    <xf numFmtId="1" fontId="4" fillId="0" borderId="19" xfId="0" applyNumberFormat="1" applyFont="1" applyBorder="1" applyAlignment="1">
      <alignment horizontal="center"/>
    </xf>
    <xf numFmtId="0" fontId="4" fillId="0" borderId="11" xfId="0" applyFont="1" applyBorder="1" applyAlignment="1">
      <alignment horizontal="center"/>
    </xf>
    <xf numFmtId="0" fontId="13" fillId="0" borderId="11" xfId="0" applyFont="1" applyBorder="1" applyAlignment="1">
      <alignment horizontal="center"/>
    </xf>
    <xf numFmtId="172" fontId="4" fillId="0" borderId="10" xfId="0" applyNumberFormat="1" applyFont="1" applyBorder="1" applyAlignment="1">
      <alignment horizontal="center"/>
    </xf>
    <xf numFmtId="173" fontId="0" fillId="32" borderId="10" xfId="0" applyNumberFormat="1" applyFont="1" applyFill="1" applyBorder="1" applyAlignment="1">
      <alignment horizontal="center"/>
    </xf>
    <xf numFmtId="0" fontId="12" fillId="32" borderId="10" xfId="0" applyFont="1" applyFill="1" applyBorder="1" applyAlignment="1">
      <alignment horizontal="center"/>
    </xf>
    <xf numFmtId="0" fontId="12" fillId="32" borderId="10" xfId="0" applyFont="1" applyFill="1" applyBorder="1" applyAlignment="1">
      <alignment/>
    </xf>
    <xf numFmtId="0" fontId="0" fillId="32" borderId="11" xfId="0" applyFont="1" applyFill="1" applyBorder="1" applyAlignment="1">
      <alignment/>
    </xf>
    <xf numFmtId="0" fontId="0" fillId="32" borderId="16" xfId="0" applyFont="1" applyFill="1" applyBorder="1" applyAlignment="1">
      <alignment horizontal="center"/>
    </xf>
    <xf numFmtId="2" fontId="5" fillId="0" borderId="0" xfId="0" applyNumberFormat="1" applyFont="1" applyBorder="1" applyAlignment="1">
      <alignment horizontal="center"/>
    </xf>
    <xf numFmtId="0" fontId="0" fillId="0" borderId="0" xfId="0" applyFont="1" applyBorder="1" applyAlignment="1">
      <alignment/>
    </xf>
    <xf numFmtId="172" fontId="7" fillId="0" borderId="0" xfId="0" applyNumberFormat="1" applyFont="1" applyBorder="1" applyAlignment="1">
      <alignment horizontal="center"/>
    </xf>
    <xf numFmtId="0" fontId="12" fillId="32" borderId="10" xfId="0" applyFont="1" applyFill="1" applyBorder="1" applyAlignment="1">
      <alignment horizontal="center" wrapText="1"/>
    </xf>
    <xf numFmtId="0" fontId="12" fillId="32" borderId="20" xfId="0" applyFont="1" applyFill="1" applyBorder="1" applyAlignment="1">
      <alignment horizontal="center" wrapText="1"/>
    </xf>
    <xf numFmtId="0" fontId="12" fillId="32" borderId="0" xfId="0" applyFont="1" applyFill="1" applyBorder="1" applyAlignment="1">
      <alignment horizontal="center" wrapText="1"/>
    </xf>
    <xf numFmtId="0" fontId="12" fillId="32" borderId="14" xfId="0" applyFont="1" applyFill="1" applyBorder="1" applyAlignment="1">
      <alignment horizontal="center" wrapText="1"/>
    </xf>
    <xf numFmtId="0" fontId="12" fillId="32" borderId="15" xfId="0" applyFont="1" applyFill="1" applyBorder="1" applyAlignment="1">
      <alignment horizontal="center" wrapText="1"/>
    </xf>
    <xf numFmtId="0" fontId="0" fillId="32" borderId="12" xfId="0" applyFont="1" applyFill="1" applyBorder="1" applyAlignment="1">
      <alignment horizontal="center"/>
    </xf>
    <xf numFmtId="0" fontId="0" fillId="32" borderId="13" xfId="0" applyFont="1" applyFill="1" applyBorder="1" applyAlignment="1">
      <alignment horizontal="center" wrapText="1"/>
    </xf>
    <xf numFmtId="0" fontId="0" fillId="32" borderId="16" xfId="0" applyFont="1" applyFill="1" applyBorder="1" applyAlignment="1">
      <alignment horizontal="center" wrapText="1"/>
    </xf>
    <xf numFmtId="0" fontId="12" fillId="32" borderId="11" xfId="0" applyFont="1" applyFill="1" applyBorder="1" applyAlignment="1">
      <alignment horizontal="center" wrapText="1"/>
    </xf>
    <xf numFmtId="0" fontId="0" fillId="32" borderId="18" xfId="0" applyFont="1" applyFill="1" applyBorder="1" applyAlignment="1">
      <alignment horizontal="center"/>
    </xf>
    <xf numFmtId="1" fontId="0" fillId="32" borderId="15" xfId="0" applyNumberFormat="1" applyFont="1" applyFill="1" applyBorder="1" applyAlignment="1">
      <alignment horizontal="center"/>
    </xf>
    <xf numFmtId="0" fontId="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0" fillId="32" borderId="11" xfId="0" applyFont="1" applyFill="1" applyBorder="1" applyAlignment="1">
      <alignment horizontal="center" wrapText="1"/>
    </xf>
    <xf numFmtId="0" fontId="20" fillId="32" borderId="16" xfId="0" applyFont="1" applyFill="1" applyBorder="1" applyAlignment="1">
      <alignment horizontal="center"/>
    </xf>
    <xf numFmtId="0" fontId="22" fillId="32" borderId="11" xfId="0" applyFont="1" applyFill="1" applyBorder="1" applyAlignment="1">
      <alignment horizontal="center" wrapText="1"/>
    </xf>
    <xf numFmtId="0" fontId="22" fillId="32" borderId="16" xfId="0" applyFont="1" applyFill="1" applyBorder="1" applyAlignment="1">
      <alignment horizontal="center"/>
    </xf>
    <xf numFmtId="0" fontId="0" fillId="33" borderId="0" xfId="0" applyFont="1" applyFill="1" applyBorder="1" applyAlignment="1">
      <alignment/>
    </xf>
    <xf numFmtId="0" fontId="15" fillId="33" borderId="0" xfId="0" applyFont="1" applyFill="1" applyBorder="1" applyAlignment="1">
      <alignment/>
    </xf>
    <xf numFmtId="172" fontId="15" fillId="33" borderId="0" xfId="0" applyNumberFormat="1" applyFont="1" applyFill="1" applyBorder="1" applyAlignment="1">
      <alignment horizontal="center"/>
    </xf>
    <xf numFmtId="0" fontId="3" fillId="33" borderId="0" xfId="0" applyNumberFormat="1" applyFont="1" applyFill="1" applyBorder="1" applyAlignment="1">
      <alignment horizontal="center"/>
    </xf>
    <xf numFmtId="2" fontId="15" fillId="33" borderId="0" xfId="0" applyNumberFormat="1" applyFont="1" applyFill="1" applyBorder="1" applyAlignment="1">
      <alignment horizontal="center"/>
    </xf>
    <xf numFmtId="1" fontId="0" fillId="33" borderId="0" xfId="0" applyNumberFormat="1" applyFont="1" applyFill="1" applyBorder="1" applyAlignment="1">
      <alignment/>
    </xf>
    <xf numFmtId="1" fontId="0" fillId="33" borderId="0" xfId="0" applyNumberFormat="1" applyFont="1" applyFill="1" applyBorder="1" applyAlignment="1">
      <alignment/>
    </xf>
    <xf numFmtId="0" fontId="1" fillId="0" borderId="21" xfId="0" applyFont="1" applyBorder="1" applyAlignment="1">
      <alignment/>
    </xf>
    <xf numFmtId="0" fontId="1" fillId="0" borderId="22" xfId="0" applyFont="1" applyBorder="1" applyAlignment="1">
      <alignment/>
    </xf>
    <xf numFmtId="0" fontId="7" fillId="0" borderId="21" xfId="0" applyFont="1" applyBorder="1" applyAlignment="1">
      <alignment/>
    </xf>
    <xf numFmtId="0" fontId="7" fillId="0" borderId="22" xfId="0" applyFont="1" applyBorder="1" applyAlignment="1">
      <alignment/>
    </xf>
    <xf numFmtId="0" fontId="0" fillId="0" borderId="21" xfId="0" applyFont="1" applyBorder="1" applyAlignment="1">
      <alignment/>
    </xf>
    <xf numFmtId="0" fontId="0" fillId="0" borderId="22" xfId="0" applyFont="1" applyBorder="1" applyAlignment="1">
      <alignment/>
    </xf>
    <xf numFmtId="0" fontId="8" fillId="0" borderId="21" xfId="0" applyFont="1" applyBorder="1" applyAlignment="1">
      <alignment/>
    </xf>
    <xf numFmtId="0" fontId="9" fillId="0" borderId="0" xfId="0" applyFont="1" applyBorder="1" applyAlignment="1">
      <alignment/>
    </xf>
    <xf numFmtId="0" fontId="8" fillId="0" borderId="22" xfId="0" applyFont="1" applyBorder="1" applyAlignment="1">
      <alignment/>
    </xf>
    <xf numFmtId="0" fontId="0" fillId="33" borderId="21" xfId="0" applyFont="1" applyFill="1" applyBorder="1" applyAlignment="1">
      <alignment/>
    </xf>
    <xf numFmtId="0" fontId="8" fillId="33" borderId="0" xfId="0" applyNumberFormat="1" applyFont="1" applyFill="1" applyBorder="1" applyAlignment="1">
      <alignment/>
    </xf>
    <xf numFmtId="0" fontId="0" fillId="33" borderId="22" xfId="0" applyFont="1" applyFill="1" applyBorder="1" applyAlignment="1">
      <alignment/>
    </xf>
    <xf numFmtId="0" fontId="15" fillId="33" borderId="21" xfId="0" applyFont="1" applyFill="1" applyBorder="1" applyAlignment="1">
      <alignment/>
    </xf>
    <xf numFmtId="0" fontId="15" fillId="33" borderId="21" xfId="0" applyFont="1" applyFill="1" applyBorder="1" applyAlignment="1">
      <alignment/>
    </xf>
    <xf numFmtId="0" fontId="0" fillId="33" borderId="23" xfId="0" applyFont="1" applyFill="1" applyBorder="1" applyAlignment="1">
      <alignment/>
    </xf>
    <xf numFmtId="0" fontId="0" fillId="33" borderId="24" xfId="0" applyFont="1" applyFill="1" applyBorder="1" applyAlignment="1">
      <alignment/>
    </xf>
    <xf numFmtId="172" fontId="15" fillId="33" borderId="24" xfId="0" applyNumberFormat="1" applyFont="1" applyFill="1" applyBorder="1" applyAlignment="1">
      <alignment horizontal="center"/>
    </xf>
    <xf numFmtId="0" fontId="3" fillId="33" borderId="24" xfId="0" applyNumberFormat="1" applyFont="1" applyFill="1" applyBorder="1" applyAlignment="1">
      <alignment horizontal="center"/>
    </xf>
    <xf numFmtId="2" fontId="15" fillId="33" borderId="24" xfId="0" applyNumberFormat="1" applyFont="1" applyFill="1" applyBorder="1" applyAlignment="1">
      <alignment horizontal="center"/>
    </xf>
    <xf numFmtId="1" fontId="0" fillId="33" borderId="24" xfId="0" applyNumberFormat="1" applyFont="1" applyFill="1" applyBorder="1" applyAlignment="1">
      <alignment/>
    </xf>
    <xf numFmtId="1" fontId="0" fillId="33" borderId="24" xfId="0" applyNumberFormat="1" applyFont="1" applyFill="1" applyBorder="1" applyAlignment="1">
      <alignment/>
    </xf>
    <xf numFmtId="0" fontId="0" fillId="33" borderId="25" xfId="0" applyFont="1" applyFill="1" applyBorder="1" applyAlignment="1">
      <alignment/>
    </xf>
    <xf numFmtId="0" fontId="0" fillId="0" borderId="21" xfId="0"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xf>
    <xf numFmtId="172" fontId="17" fillId="4" borderId="20" xfId="0" applyNumberFormat="1" applyFont="1" applyFill="1" applyBorder="1" applyAlignment="1">
      <alignment horizontal="right"/>
    </xf>
    <xf numFmtId="1" fontId="14" fillId="4" borderId="26" xfId="0" applyNumberFormat="1" applyFont="1" applyFill="1" applyBorder="1" applyAlignment="1">
      <alignment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3" xfId="0" applyFont="1" applyBorder="1" applyAlignment="1">
      <alignment/>
    </xf>
    <xf numFmtId="0" fontId="0" fillId="0" borderId="24" xfId="0" applyFont="1" applyBorder="1" applyAlignment="1">
      <alignment/>
    </xf>
    <xf numFmtId="0" fontId="0" fillId="0" borderId="25" xfId="0" applyFont="1" applyBorder="1" applyAlignment="1">
      <alignment/>
    </xf>
    <xf numFmtId="173" fontId="15" fillId="33" borderId="24" xfId="0" applyNumberFormat="1" applyFont="1" applyFill="1" applyBorder="1" applyAlignment="1">
      <alignment horizontal="center"/>
    </xf>
    <xf numFmtId="173" fontId="15" fillId="33" borderId="0" xfId="0" applyNumberFormat="1" applyFont="1" applyFill="1" applyBorder="1" applyAlignment="1">
      <alignment horizontal="center"/>
    </xf>
    <xf numFmtId="0" fontId="0" fillId="0" borderId="21" xfId="0" applyFont="1" applyBorder="1" applyAlignment="1">
      <alignment/>
    </xf>
    <xf numFmtId="0" fontId="0" fillId="0" borderId="22" xfId="0" applyFont="1" applyBorder="1" applyAlignment="1">
      <alignment/>
    </xf>
    <xf numFmtId="0" fontId="0" fillId="0" borderId="21" xfId="0" applyFont="1" applyBorder="1" applyAlignment="1">
      <alignment/>
    </xf>
    <xf numFmtId="0" fontId="12" fillId="33" borderId="21" xfId="0" applyFont="1" applyFill="1" applyBorder="1" applyAlignment="1">
      <alignment/>
    </xf>
    <xf numFmtId="2" fontId="16" fillId="33" borderId="0" xfId="0" applyNumberFormat="1" applyFont="1" applyFill="1" applyBorder="1" applyAlignment="1">
      <alignment horizontal="center"/>
    </xf>
    <xf numFmtId="1" fontId="16" fillId="33" borderId="0" xfId="0" applyNumberFormat="1" applyFont="1" applyFill="1" applyBorder="1" applyAlignment="1">
      <alignment horizontal="center"/>
    </xf>
    <xf numFmtId="2" fontId="4" fillId="33" borderId="24" xfId="0" applyNumberFormat="1" applyFont="1" applyFill="1" applyBorder="1" applyAlignment="1">
      <alignment horizontal="center"/>
    </xf>
    <xf numFmtId="1" fontId="4" fillId="33" borderId="24" xfId="0" applyNumberFormat="1" applyFont="1" applyFill="1" applyBorder="1" applyAlignment="1">
      <alignment horizontal="center"/>
    </xf>
    <xf numFmtId="0" fontId="4" fillId="33" borderId="24" xfId="0" applyNumberFormat="1" applyFont="1" applyFill="1" applyBorder="1" applyAlignment="1">
      <alignment horizontal="center"/>
    </xf>
    <xf numFmtId="2" fontId="5" fillId="33" borderId="25" xfId="0" applyNumberFormat="1" applyFont="1" applyFill="1" applyBorder="1" applyAlignment="1">
      <alignment horizontal="center"/>
    </xf>
    <xf numFmtId="2" fontId="4" fillId="33" borderId="0" xfId="0" applyNumberFormat="1" applyFont="1" applyFill="1" applyBorder="1" applyAlignment="1">
      <alignment horizontal="center"/>
    </xf>
    <xf numFmtId="1" fontId="4" fillId="33" borderId="0" xfId="0" applyNumberFormat="1" applyFont="1" applyFill="1" applyBorder="1" applyAlignment="1">
      <alignment horizontal="center"/>
    </xf>
    <xf numFmtId="0" fontId="4" fillId="33" borderId="0" xfId="0" applyNumberFormat="1" applyFont="1" applyFill="1" applyBorder="1" applyAlignment="1">
      <alignment horizontal="center"/>
    </xf>
    <xf numFmtId="2" fontId="5" fillId="33" borderId="22" xfId="0" applyNumberFormat="1" applyFont="1" applyFill="1" applyBorder="1" applyAlignment="1">
      <alignment horizontal="center"/>
    </xf>
    <xf numFmtId="0" fontId="0" fillId="0" borderId="21" xfId="0" applyFont="1" applyFill="1" applyBorder="1" applyAlignment="1">
      <alignment/>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Fill="1" applyBorder="1" applyAlignment="1">
      <alignment horizontal="left" vertical="center"/>
    </xf>
    <xf numFmtId="0" fontId="0" fillId="0" borderId="24" xfId="0" applyFont="1" applyFill="1" applyBorder="1" applyAlignment="1">
      <alignment/>
    </xf>
    <xf numFmtId="0" fontId="0" fillId="0" borderId="2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0" fillId="0" borderId="25" xfId="0" applyFont="1" applyBorder="1" applyAlignment="1">
      <alignment horizontal="center" vertical="center" wrapText="1"/>
    </xf>
    <xf numFmtId="0" fontId="2" fillId="34" borderId="30" xfId="0" applyFont="1" applyFill="1" applyBorder="1" applyAlignment="1">
      <alignment/>
    </xf>
    <xf numFmtId="0" fontId="1" fillId="34" borderId="31" xfId="0" applyFont="1" applyFill="1" applyBorder="1" applyAlignment="1">
      <alignment/>
    </xf>
    <xf numFmtId="0" fontId="1" fillId="34" borderId="32" xfId="0" applyFont="1" applyFill="1" applyBorder="1" applyAlignment="1">
      <alignment/>
    </xf>
    <xf numFmtId="0" fontId="0" fillId="0" borderId="0" xfId="0" applyFont="1" applyBorder="1" applyAlignment="1">
      <alignment/>
    </xf>
    <xf numFmtId="0" fontId="25" fillId="0" borderId="0" xfId="53" applyBorder="1" applyAlignment="1" applyProtection="1">
      <alignment/>
      <protection/>
    </xf>
    <xf numFmtId="0" fontId="7" fillId="35" borderId="30" xfId="0" applyFont="1" applyFill="1" applyBorder="1" applyAlignment="1">
      <alignment/>
    </xf>
    <xf numFmtId="0" fontId="0" fillId="35" borderId="31" xfId="0" applyFont="1" applyFill="1" applyBorder="1" applyAlignment="1">
      <alignment/>
    </xf>
    <xf numFmtId="0" fontId="0" fillId="35" borderId="32" xfId="0" applyFont="1" applyFill="1" applyBorder="1" applyAlignment="1">
      <alignment/>
    </xf>
    <xf numFmtId="0" fontId="1" fillId="0" borderId="0" xfId="0" applyFont="1" applyBorder="1" applyAlignment="1">
      <alignment/>
    </xf>
    <xf numFmtId="0" fontId="0" fillId="0" borderId="0" xfId="0" applyFont="1" applyAlignment="1">
      <alignment horizontal="center"/>
    </xf>
    <xf numFmtId="0" fontId="0" fillId="0" borderId="0" xfId="0" applyFont="1" applyBorder="1" applyAlignment="1">
      <alignment horizontal="center"/>
    </xf>
    <xf numFmtId="0" fontId="0" fillId="0" borderId="0" xfId="0" applyBorder="1" applyAlignment="1">
      <alignment/>
    </xf>
    <xf numFmtId="0" fontId="0" fillId="0" borderId="0" xfId="0" applyFill="1" applyAlignment="1">
      <alignment/>
    </xf>
    <xf numFmtId="0" fontId="2" fillId="35" borderId="33" xfId="0" applyFont="1" applyFill="1" applyBorder="1" applyAlignment="1">
      <alignment/>
    </xf>
    <xf numFmtId="0" fontId="1" fillId="35" borderId="34" xfId="0" applyFont="1" applyFill="1" applyBorder="1" applyAlignment="1">
      <alignment/>
    </xf>
    <xf numFmtId="0" fontId="0" fillId="35" borderId="34" xfId="0" applyFill="1" applyBorder="1" applyAlignment="1">
      <alignment/>
    </xf>
    <xf numFmtId="0" fontId="1" fillId="35" borderId="35" xfId="0" applyFont="1" applyFill="1" applyBorder="1" applyAlignment="1">
      <alignment/>
    </xf>
    <xf numFmtId="0" fontId="0" fillId="0" borderId="22" xfId="0" applyBorder="1" applyAlignment="1">
      <alignment/>
    </xf>
    <xf numFmtId="0" fontId="10" fillId="0" borderId="0" xfId="0" applyFont="1" applyBorder="1" applyAlignment="1">
      <alignment horizontal="center" vertical="center"/>
    </xf>
    <xf numFmtId="0" fontId="0" fillId="32" borderId="11" xfId="0" applyFont="1" applyFill="1" applyBorder="1" applyAlignment="1">
      <alignment/>
    </xf>
    <xf numFmtId="0" fontId="0" fillId="32" borderId="12" xfId="0" applyFont="1" applyFill="1" applyBorder="1" applyAlignment="1">
      <alignment/>
    </xf>
    <xf numFmtId="0" fontId="0" fillId="32" borderId="16" xfId="0" applyFont="1" applyFill="1" applyBorder="1" applyAlignment="1">
      <alignment/>
    </xf>
    <xf numFmtId="2" fontId="4" fillId="0" borderId="10" xfId="0" applyNumberFormat="1" applyFont="1" applyBorder="1" applyAlignment="1">
      <alignment horizontal="center"/>
    </xf>
    <xf numFmtId="2" fontId="13" fillId="0" borderId="10" xfId="0" applyNumberFormat="1" applyFont="1" applyBorder="1" applyAlignment="1">
      <alignment horizontal="center"/>
    </xf>
    <xf numFmtId="0" fontId="16" fillId="0" borderId="0" xfId="0" applyFont="1" applyFill="1" applyBorder="1" applyAlignment="1">
      <alignment/>
    </xf>
    <xf numFmtId="0" fontId="16" fillId="0" borderId="21" xfId="0" applyFont="1" applyBorder="1" applyAlignment="1">
      <alignment/>
    </xf>
    <xf numFmtId="0" fontId="6" fillId="0" borderId="0" xfId="0" applyFont="1" applyAlignment="1">
      <alignment horizontal="center"/>
    </xf>
    <xf numFmtId="172" fontId="68" fillId="0" borderId="16" xfId="0" applyNumberFormat="1" applyFont="1" applyFill="1" applyBorder="1" applyAlignment="1">
      <alignment horizontal="center"/>
    </xf>
    <xf numFmtId="172" fontId="68" fillId="0" borderId="10" xfId="0" applyNumberFormat="1" applyFont="1" applyFill="1" applyBorder="1" applyAlignment="1">
      <alignment horizontal="center"/>
    </xf>
    <xf numFmtId="173" fontId="0" fillId="36" borderId="10" xfId="0" applyNumberFormat="1" applyFont="1" applyFill="1" applyBorder="1" applyAlignment="1">
      <alignment horizontal="center"/>
    </xf>
    <xf numFmtId="2" fontId="68" fillId="0" borderId="27" xfId="0" applyNumberFormat="1" applyFont="1" applyFill="1" applyBorder="1" applyAlignment="1">
      <alignment horizontal="center"/>
    </xf>
    <xf numFmtId="2" fontId="68" fillId="0" borderId="29" xfId="0" applyNumberFormat="1" applyFont="1" applyFill="1" applyBorder="1" applyAlignment="1">
      <alignment horizontal="center"/>
    </xf>
    <xf numFmtId="2" fontId="68" fillId="0" borderId="10" xfId="0" applyNumberFormat="1" applyFont="1" applyFill="1" applyBorder="1" applyAlignment="1">
      <alignment horizontal="center"/>
    </xf>
    <xf numFmtId="2" fontId="68" fillId="0" borderId="14" xfId="0" applyNumberFormat="1" applyFont="1" applyFill="1" applyBorder="1" applyAlignment="1">
      <alignment horizontal="center"/>
    </xf>
    <xf numFmtId="2" fontId="68" fillId="0" borderId="15" xfId="0" applyNumberFormat="1" applyFont="1" applyFill="1" applyBorder="1" applyAlignment="1">
      <alignment horizontal="center"/>
    </xf>
    <xf numFmtId="0" fontId="0" fillId="0" borderId="0" xfId="0" applyFont="1" applyFill="1" applyBorder="1" applyAlignment="1">
      <alignment horizontal="right"/>
    </xf>
    <xf numFmtId="0" fontId="69" fillId="0" borderId="10" xfId="0" applyFont="1" applyBorder="1" applyAlignment="1">
      <alignment horizontal="center"/>
    </xf>
    <xf numFmtId="0" fontId="70" fillId="0" borderId="28" xfId="0" applyFont="1" applyFill="1" applyBorder="1" applyAlignment="1">
      <alignment horizontal="center" vertical="center" wrapText="1"/>
    </xf>
    <xf numFmtId="0" fontId="71" fillId="33" borderId="36" xfId="0" applyFont="1" applyFill="1" applyBorder="1" applyAlignment="1">
      <alignment/>
    </xf>
    <xf numFmtId="0" fontId="71" fillId="33" borderId="28" xfId="0" applyFont="1" applyFill="1" applyBorder="1" applyAlignment="1">
      <alignment/>
    </xf>
    <xf numFmtId="1" fontId="14" fillId="4" borderId="22" xfId="0" applyNumberFormat="1" applyFont="1" applyFill="1" applyBorder="1" applyAlignment="1">
      <alignment wrapText="1"/>
    </xf>
    <xf numFmtId="0" fontId="7" fillId="0" borderId="0" xfId="0" applyFont="1" applyBorder="1" applyAlignment="1">
      <alignment horizontal="right"/>
    </xf>
    <xf numFmtId="0" fontId="69" fillId="0" borderId="0" xfId="0" applyFont="1" applyBorder="1" applyAlignment="1">
      <alignment horizontal="left"/>
    </xf>
    <xf numFmtId="0" fontId="0" fillId="0" borderId="31" xfId="0" applyFont="1" applyBorder="1" applyAlignment="1">
      <alignment/>
    </xf>
    <xf numFmtId="0" fontId="0" fillId="0" borderId="32" xfId="0" applyFont="1" applyBorder="1" applyAlignment="1">
      <alignment/>
    </xf>
    <xf numFmtId="0" fontId="72" fillId="0" borderId="0" xfId="0" applyFont="1" applyFill="1" applyBorder="1" applyAlignment="1">
      <alignment/>
    </xf>
    <xf numFmtId="0" fontId="25" fillId="0" borderId="31" xfId="53" applyFill="1" applyBorder="1" applyAlignment="1" applyProtection="1">
      <alignment horizontal="left"/>
      <protection/>
    </xf>
    <xf numFmtId="0" fontId="12" fillId="32" borderId="27" xfId="0" applyFont="1" applyFill="1" applyBorder="1" applyAlignment="1">
      <alignment horizontal="center" wrapText="1"/>
    </xf>
    <xf numFmtId="0" fontId="12" fillId="32" borderId="29" xfId="0" applyFont="1" applyFill="1" applyBorder="1" applyAlignment="1">
      <alignment horizontal="center" wrapText="1"/>
    </xf>
    <xf numFmtId="0" fontId="12" fillId="32" borderId="27" xfId="0" applyFont="1" applyFill="1" applyBorder="1" applyAlignment="1">
      <alignment horizontal="center"/>
    </xf>
    <xf numFmtId="0" fontId="12" fillId="32" borderId="28" xfId="0" applyFont="1" applyFill="1" applyBorder="1" applyAlignment="1">
      <alignment horizontal="center"/>
    </xf>
    <xf numFmtId="0" fontId="12" fillId="32" borderId="29" xfId="0" applyFont="1" applyFill="1" applyBorder="1" applyAlignment="1">
      <alignment horizontal="center"/>
    </xf>
    <xf numFmtId="0" fontId="12" fillId="32" borderId="19" xfId="0" applyFont="1" applyFill="1" applyBorder="1" applyAlignment="1">
      <alignment horizontal="center" wrapText="1"/>
    </xf>
    <xf numFmtId="0" fontId="12" fillId="32" borderId="13" xfId="0" applyFont="1" applyFill="1" applyBorder="1" applyAlignment="1">
      <alignment horizontal="center" wrapText="1"/>
    </xf>
    <xf numFmtId="0" fontId="12" fillId="32" borderId="17" xfId="0" applyFont="1" applyFill="1" applyBorder="1" applyAlignment="1">
      <alignment horizontal="center" wrapText="1"/>
    </xf>
    <xf numFmtId="0" fontId="12" fillId="32" borderId="15" xfId="0" applyFont="1" applyFill="1" applyBorder="1" applyAlignment="1">
      <alignment horizontal="center" wrapText="1"/>
    </xf>
    <xf numFmtId="0" fontId="0" fillId="32" borderId="11" xfId="0" applyFont="1" applyFill="1" applyBorder="1" applyAlignment="1">
      <alignment horizontal="center" wrapText="1"/>
    </xf>
    <xf numFmtId="0" fontId="0" fillId="32" borderId="12" xfId="0" applyFont="1" applyFill="1" applyBorder="1" applyAlignment="1">
      <alignment horizontal="center" wrapText="1"/>
    </xf>
    <xf numFmtId="0" fontId="0" fillId="32" borderId="16" xfId="0" applyFont="1" applyFill="1" applyBorder="1" applyAlignment="1">
      <alignment horizontal="center" wrapText="1"/>
    </xf>
    <xf numFmtId="0" fontId="22" fillId="32" borderId="18" xfId="0" applyFont="1" applyFill="1" applyBorder="1" applyAlignment="1">
      <alignment horizontal="center" wrapText="1"/>
    </xf>
    <xf numFmtId="0" fontId="22" fillId="32" borderId="37" xfId="0" applyFont="1" applyFill="1" applyBorder="1" applyAlignment="1">
      <alignment horizontal="center" wrapText="1"/>
    </xf>
    <xf numFmtId="0" fontId="22" fillId="32" borderId="14" xfId="0" applyFont="1" applyFill="1" applyBorder="1" applyAlignment="1">
      <alignment horizontal="center" wrapText="1"/>
    </xf>
    <xf numFmtId="0" fontId="22" fillId="32" borderId="38" xfId="0" applyFont="1" applyFill="1" applyBorder="1" applyAlignment="1">
      <alignment horizontal="center" wrapText="1"/>
    </xf>
    <xf numFmtId="1" fontId="14" fillId="4" borderId="17" xfId="0" applyNumberFormat="1" applyFont="1" applyFill="1" applyBorder="1" applyAlignment="1">
      <alignment horizontal="center"/>
    </xf>
    <xf numFmtId="1" fontId="14" fillId="4" borderId="15" xfId="0" applyNumberFormat="1" applyFont="1" applyFill="1" applyBorder="1" applyAlignment="1">
      <alignment horizontal="center"/>
    </xf>
    <xf numFmtId="1" fontId="14" fillId="4" borderId="38" xfId="0" applyNumberFormat="1" applyFont="1" applyFill="1" applyBorder="1" applyAlignment="1">
      <alignment horizontal="center"/>
    </xf>
    <xf numFmtId="0" fontId="0" fillId="32" borderId="27" xfId="0" applyFont="1" applyFill="1" applyBorder="1" applyAlignment="1">
      <alignment horizontal="center" wrapText="1"/>
    </xf>
    <xf numFmtId="0" fontId="0" fillId="32" borderId="28" xfId="0" applyFill="1" applyBorder="1" applyAlignment="1">
      <alignment horizontal="center" wrapText="1"/>
    </xf>
    <xf numFmtId="0" fontId="0" fillId="32" borderId="39" xfId="0" applyFill="1" applyBorder="1" applyAlignment="1">
      <alignment horizontal="center" wrapText="1"/>
    </xf>
    <xf numFmtId="0" fontId="20" fillId="32" borderId="18" xfId="0" applyFont="1" applyFill="1" applyBorder="1" applyAlignment="1">
      <alignment horizontal="center" wrapText="1"/>
    </xf>
    <xf numFmtId="0" fontId="20" fillId="32" borderId="13" xfId="0" applyFont="1" applyFill="1" applyBorder="1" applyAlignment="1">
      <alignment horizontal="center" wrapText="1"/>
    </xf>
    <xf numFmtId="0" fontId="20" fillId="32" borderId="14" xfId="0" applyFont="1" applyFill="1" applyBorder="1" applyAlignment="1">
      <alignment horizontal="center" wrapText="1"/>
    </xf>
    <xf numFmtId="0" fontId="20" fillId="32" borderId="15" xfId="0" applyFont="1" applyFill="1" applyBorder="1" applyAlignment="1">
      <alignment horizontal="center" wrapText="1"/>
    </xf>
    <xf numFmtId="0" fontId="0" fillId="32" borderId="13" xfId="0" applyFont="1" applyFill="1" applyBorder="1" applyAlignment="1">
      <alignment horizontal="center" wrapText="1"/>
    </xf>
    <xf numFmtId="0" fontId="0" fillId="32" borderId="26" xfId="0" applyFont="1" applyFill="1" applyBorder="1" applyAlignment="1">
      <alignment horizontal="center" wrapText="1"/>
    </xf>
    <xf numFmtId="0" fontId="0" fillId="32" borderId="15" xfId="0" applyFont="1" applyFill="1" applyBorder="1" applyAlignment="1">
      <alignment horizontal="center" wrapText="1"/>
    </xf>
    <xf numFmtId="0" fontId="14" fillId="37" borderId="18" xfId="0" applyFont="1" applyFill="1" applyBorder="1" applyAlignment="1">
      <alignment horizontal="center"/>
    </xf>
    <xf numFmtId="0" fontId="14" fillId="37" borderId="13" xfId="0" applyFont="1" applyFill="1" applyBorder="1" applyAlignment="1">
      <alignment horizontal="center"/>
    </xf>
    <xf numFmtId="0" fontId="17" fillId="37" borderId="18" xfId="0" applyFont="1" applyFill="1" applyBorder="1" applyAlignment="1">
      <alignment horizontal="center"/>
    </xf>
    <xf numFmtId="0" fontId="17" fillId="37" borderId="19" xfId="0" applyFont="1" applyFill="1" applyBorder="1" applyAlignment="1">
      <alignment horizontal="center"/>
    </xf>
    <xf numFmtId="0" fontId="0" fillId="32" borderId="18" xfId="0" applyFont="1" applyFill="1" applyBorder="1" applyAlignment="1">
      <alignment horizontal="center" wrapText="1"/>
    </xf>
    <xf numFmtId="0" fontId="0" fillId="32" borderId="20" xfId="0" applyFont="1" applyFill="1" applyBorder="1" applyAlignment="1">
      <alignment horizontal="center" wrapText="1"/>
    </xf>
    <xf numFmtId="0" fontId="0" fillId="32" borderId="14" xfId="0" applyFont="1" applyFill="1" applyBorder="1" applyAlignment="1">
      <alignment horizontal="center" wrapText="1"/>
    </xf>
    <xf numFmtId="0" fontId="0" fillId="32" borderId="27" xfId="0" applyFont="1" applyFill="1" applyBorder="1" applyAlignment="1">
      <alignment horizontal="center"/>
    </xf>
    <xf numFmtId="0" fontId="0" fillId="32" borderId="28" xfId="0" applyFont="1" applyFill="1" applyBorder="1" applyAlignment="1">
      <alignment horizontal="center"/>
    </xf>
    <xf numFmtId="0" fontId="0" fillId="32" borderId="29" xfId="0" applyFont="1" applyFill="1" applyBorder="1" applyAlignment="1">
      <alignment horizontal="center"/>
    </xf>
    <xf numFmtId="0" fontId="14" fillId="4" borderId="27" xfId="0" applyFont="1" applyFill="1" applyBorder="1" applyAlignment="1">
      <alignment horizontal="right"/>
    </xf>
    <xf numFmtId="0" fontId="14" fillId="4" borderId="28" xfId="0" applyFont="1" applyFill="1" applyBorder="1" applyAlignment="1">
      <alignment horizontal="right"/>
    </xf>
    <xf numFmtId="0" fontId="14" fillId="4" borderId="29" xfId="0" applyFont="1" applyFill="1" applyBorder="1" applyAlignment="1">
      <alignment horizontal="right"/>
    </xf>
    <xf numFmtId="0" fontId="12" fillId="36" borderId="17" xfId="0" applyFont="1" applyFill="1" applyBorder="1" applyAlignment="1">
      <alignment horizontal="center"/>
    </xf>
    <xf numFmtId="0" fontId="24" fillId="32" borderId="18" xfId="0" applyFont="1" applyFill="1" applyBorder="1" applyAlignment="1">
      <alignment horizontal="center" wrapText="1"/>
    </xf>
    <xf numFmtId="0" fontId="24" fillId="32" borderId="13" xfId="0" applyFont="1" applyFill="1" applyBorder="1" applyAlignment="1">
      <alignment horizontal="center" wrapText="1"/>
    </xf>
    <xf numFmtId="0" fontId="24" fillId="32" borderId="14" xfId="0" applyFont="1" applyFill="1" applyBorder="1" applyAlignment="1">
      <alignment horizontal="center" wrapText="1"/>
    </xf>
    <xf numFmtId="0" fontId="24" fillId="32" borderId="15" xfId="0" applyFont="1" applyFill="1" applyBorder="1" applyAlignment="1">
      <alignment horizontal="center" wrapText="1"/>
    </xf>
    <xf numFmtId="0" fontId="17" fillId="37" borderId="27" xfId="0" applyFont="1" applyFill="1" applyBorder="1" applyAlignment="1">
      <alignment horizontal="center"/>
    </xf>
    <xf numFmtId="0" fontId="17" fillId="37" borderId="29" xfId="0" applyFont="1" applyFill="1" applyBorder="1" applyAlignment="1">
      <alignment horizontal="center"/>
    </xf>
    <xf numFmtId="0" fontId="0" fillId="32" borderId="13" xfId="0" applyFont="1" applyFill="1" applyBorder="1" applyAlignment="1">
      <alignment/>
    </xf>
    <xf numFmtId="0" fontId="0" fillId="32" borderId="14" xfId="0" applyFont="1" applyFill="1" applyBorder="1" applyAlignment="1">
      <alignment/>
    </xf>
    <xf numFmtId="0" fontId="0" fillId="32" borderId="15" xfId="0" applyFont="1" applyFill="1" applyBorder="1" applyAlignment="1">
      <alignment/>
    </xf>
    <xf numFmtId="2" fontId="0" fillId="32" borderId="27" xfId="0" applyNumberFormat="1" applyFont="1" applyFill="1" applyBorder="1" applyAlignment="1">
      <alignment horizontal="center"/>
    </xf>
    <xf numFmtId="2" fontId="0" fillId="32" borderId="28" xfId="0" applyNumberFormat="1" applyFont="1" applyFill="1" applyBorder="1" applyAlignment="1">
      <alignment horizontal="center"/>
    </xf>
    <xf numFmtId="2" fontId="0" fillId="32" borderId="29" xfId="0" applyNumberFormat="1" applyFont="1" applyFill="1" applyBorder="1" applyAlignment="1">
      <alignment horizontal="center"/>
    </xf>
    <xf numFmtId="0" fontId="12" fillId="32" borderId="18" xfId="0" applyFont="1" applyFill="1" applyBorder="1" applyAlignment="1">
      <alignment horizontal="center" wrapText="1"/>
    </xf>
    <xf numFmtId="0" fontId="12" fillId="32" borderId="14" xfId="0" applyFont="1" applyFill="1" applyBorder="1" applyAlignment="1">
      <alignment horizontal="center" wrapText="1"/>
    </xf>
    <xf numFmtId="0" fontId="25" fillId="0" borderId="21" xfId="53" applyBorder="1" applyAlignment="1" applyProtection="1">
      <alignment horizontal="left"/>
      <protection/>
    </xf>
    <xf numFmtId="0" fontId="25" fillId="0" borderId="0" xfId="53" applyBorder="1" applyAlignment="1" applyProtection="1">
      <alignment horizontal="left"/>
      <protection/>
    </xf>
    <xf numFmtId="0" fontId="25" fillId="0" borderId="21" xfId="53" applyFont="1" applyBorder="1" applyAlignment="1" applyProtection="1">
      <alignment horizontal="left"/>
      <protection/>
    </xf>
    <xf numFmtId="0" fontId="25" fillId="0" borderId="0" xfId="53" applyFont="1" applyBorder="1" applyAlignment="1" applyProtection="1">
      <alignment horizontal="left"/>
      <protection/>
    </xf>
    <xf numFmtId="0" fontId="0" fillId="0" borderId="20" xfId="0" applyFont="1" applyBorder="1" applyAlignment="1">
      <alignment horizontal="left"/>
    </xf>
    <xf numFmtId="0" fontId="0" fillId="0" borderId="0" xfId="0" applyFont="1" applyBorder="1" applyAlignment="1">
      <alignment horizontal="left"/>
    </xf>
    <xf numFmtId="0" fontId="7" fillId="0" borderId="30" xfId="0" applyFont="1" applyBorder="1" applyAlignment="1">
      <alignment horizontal="left"/>
    </xf>
    <xf numFmtId="0" fontId="7" fillId="0" borderId="31" xfId="0" applyFont="1" applyBorder="1" applyAlignment="1">
      <alignment horizontal="left"/>
    </xf>
    <xf numFmtId="0" fontId="7" fillId="0" borderId="21" xfId="0" applyFont="1" applyBorder="1" applyAlignment="1">
      <alignment horizontal="left"/>
    </xf>
    <xf numFmtId="0" fontId="0" fillId="0" borderId="0"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rimaries">
      <a:dk1>
        <a:sysClr val="windowText" lastClr="000000"/>
      </a:dk1>
      <a:lt1>
        <a:sysClr val="window" lastClr="FFFFFF"/>
      </a:lt1>
      <a:dk2>
        <a:srgbClr val="1F497D"/>
      </a:dk2>
      <a:lt2>
        <a:srgbClr val="EEECE1"/>
      </a:lt2>
      <a:accent1>
        <a:srgbClr val="FF0000"/>
      </a:accent1>
      <a:accent2>
        <a:srgbClr val="FFC000"/>
      </a:accent2>
      <a:accent3>
        <a:srgbClr val="FFFF00"/>
      </a:accent3>
      <a:accent4>
        <a:srgbClr val="92D050"/>
      </a:accent4>
      <a:accent5>
        <a:srgbClr val="0070C0"/>
      </a:accent5>
      <a:accent6>
        <a:srgbClr val="7030A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portsci.org/resource/stats/xcl_Bayesian.xls" TargetMode="External" /><Relationship Id="rId2" Type="http://schemas.openxmlformats.org/officeDocument/2006/relationships/hyperlink" Target="https://sportsci.org/resource/stats/xcl.xls"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181"/>
  <sheetViews>
    <sheetView tabSelected="1" zoomScalePageLayoutView="0" workbookViewId="0" topLeftCell="A1">
      <selection activeCell="A1" sqref="A1"/>
    </sheetView>
  </sheetViews>
  <sheetFormatPr defaultColWidth="11.421875" defaultRowHeight="12.75"/>
  <cols>
    <col min="1" max="1" width="2.00390625" style="1" customWidth="1"/>
    <col min="2" max="2" width="3.140625" style="1" customWidth="1"/>
    <col min="3" max="5" width="8.7109375" style="1" customWidth="1"/>
    <col min="6" max="6" width="10.7109375" style="1" customWidth="1"/>
    <col min="7" max="7" width="10.57421875" style="1" customWidth="1"/>
    <col min="8" max="8" width="10.140625" style="1" customWidth="1"/>
    <col min="9" max="9" width="8.00390625" style="1" customWidth="1"/>
    <col min="10" max="10" width="10.8515625" style="1" customWidth="1"/>
    <col min="11" max="11" width="7.7109375" style="1" customWidth="1"/>
    <col min="12" max="12" width="9.7109375" style="1" customWidth="1"/>
    <col min="13" max="13" width="9.28125" style="1" customWidth="1"/>
    <col min="14" max="14" width="10.28125" style="1" customWidth="1"/>
    <col min="15" max="15" width="9.28125" style="1" customWidth="1"/>
    <col min="16" max="16" width="9.7109375" style="1" customWidth="1"/>
    <col min="17" max="18" width="9.28125" style="2" customWidth="1"/>
    <col min="19" max="19" width="3.00390625" style="1" customWidth="1"/>
    <col min="20" max="20" width="8.140625" style="1" customWidth="1"/>
    <col min="21" max="21" width="7.57421875" style="1" customWidth="1"/>
    <col min="22" max="22" width="6.8515625" style="1" customWidth="1"/>
    <col min="23" max="25" width="7.140625" style="1" customWidth="1"/>
    <col min="26" max="26" width="5.421875" style="1" customWidth="1"/>
    <col min="27" max="28" width="8.421875" style="1" customWidth="1"/>
    <col min="29" max="29" width="5.7109375" style="1" customWidth="1"/>
    <col min="30" max="30" width="1.421875" style="1" customWidth="1"/>
    <col min="31" max="31" width="7.28125" style="1" customWidth="1"/>
    <col min="32" max="32" width="7.00390625" style="1" customWidth="1"/>
    <col min="33" max="33" width="6.421875" style="1" customWidth="1"/>
    <col min="34" max="16384" width="11.421875" style="1" customWidth="1"/>
  </cols>
  <sheetData>
    <row r="1" ht="9.75" customHeight="1" thickBot="1"/>
    <row r="2" spans="2:18" s="142" customFormat="1" ht="15.75" customHeight="1" thickBot="1">
      <c r="B2" s="147" t="s">
        <v>142</v>
      </c>
      <c r="C2" s="148"/>
      <c r="D2" s="148"/>
      <c r="E2" s="149"/>
      <c r="F2" s="149"/>
      <c r="G2" s="149"/>
      <c r="H2" s="149"/>
      <c r="I2" s="149"/>
      <c r="J2" s="149"/>
      <c r="K2" s="148"/>
      <c r="L2" s="148"/>
      <c r="M2" s="148"/>
      <c r="N2" s="148"/>
      <c r="O2" s="148"/>
      <c r="P2" s="148"/>
      <c r="Q2" s="148"/>
      <c r="R2" s="150"/>
    </row>
    <row r="3" spans="2:18" ht="14.25" customHeight="1">
      <c r="B3" s="244" t="s">
        <v>83</v>
      </c>
      <c r="C3" s="245"/>
      <c r="D3" s="245"/>
      <c r="E3" s="245"/>
      <c r="F3" s="180" t="s">
        <v>143</v>
      </c>
      <c r="G3" s="180"/>
      <c r="H3" s="180"/>
      <c r="I3" s="180"/>
      <c r="J3" s="180"/>
      <c r="K3" s="177"/>
      <c r="L3" s="177"/>
      <c r="M3" s="177"/>
      <c r="N3" s="177"/>
      <c r="O3" s="177"/>
      <c r="P3" s="177"/>
      <c r="Q3" s="177"/>
      <c r="R3" s="178"/>
    </row>
    <row r="4" spans="2:18" ht="14.25" customHeight="1">
      <c r="B4" s="246" t="s">
        <v>84</v>
      </c>
      <c r="C4" s="247"/>
      <c r="D4" s="247"/>
      <c r="E4" s="247"/>
      <c r="F4" s="145">
        <v>2020</v>
      </c>
      <c r="G4" s="145">
        <v>2019</v>
      </c>
      <c r="H4" s="145">
        <v>2018</v>
      </c>
      <c r="I4" s="145">
        <v>2016</v>
      </c>
      <c r="J4" s="144">
        <v>2012</v>
      </c>
      <c r="K4" s="144">
        <v>2008</v>
      </c>
      <c r="L4" s="144">
        <v>2007</v>
      </c>
      <c r="M4" s="2"/>
      <c r="N4" s="2"/>
      <c r="O4" s="2"/>
      <c r="P4" s="2"/>
      <c r="R4" s="79"/>
    </row>
    <row r="5" spans="2:18" ht="6" customHeight="1" thickBot="1">
      <c r="B5" s="105"/>
      <c r="C5" s="106"/>
      <c r="D5" s="106"/>
      <c r="E5" s="106"/>
      <c r="F5" s="106"/>
      <c r="G5" s="106"/>
      <c r="H5" s="106"/>
      <c r="I5" s="106"/>
      <c r="J5" s="106"/>
      <c r="K5" s="106"/>
      <c r="L5" s="106"/>
      <c r="M5" s="106"/>
      <c r="N5" s="106"/>
      <c r="O5" s="106"/>
      <c r="P5" s="106"/>
      <c r="Q5" s="106"/>
      <c r="R5" s="107"/>
    </row>
    <row r="6" spans="2:18" ht="12.75">
      <c r="B6" s="139" t="s">
        <v>57</v>
      </c>
      <c r="C6" s="140"/>
      <c r="D6" s="140"/>
      <c r="E6" s="140"/>
      <c r="F6" s="140"/>
      <c r="G6" s="140"/>
      <c r="H6" s="140"/>
      <c r="I6" s="140"/>
      <c r="J6" s="140"/>
      <c r="K6" s="140"/>
      <c r="L6" s="140"/>
      <c r="M6" s="140"/>
      <c r="N6" s="140"/>
      <c r="O6" s="140"/>
      <c r="P6" s="140"/>
      <c r="Q6" s="140"/>
      <c r="R6" s="141"/>
    </row>
    <row r="7" spans="2:18" ht="12.75">
      <c r="B7" s="78" t="s">
        <v>141</v>
      </c>
      <c r="C7" s="2"/>
      <c r="D7" s="2"/>
      <c r="E7" s="2"/>
      <c r="F7" s="2"/>
      <c r="G7" s="2"/>
      <c r="H7" s="2"/>
      <c r="I7" s="2"/>
      <c r="J7" s="2"/>
      <c r="K7" s="2"/>
      <c r="L7" s="2"/>
      <c r="M7" s="2"/>
      <c r="N7" s="2"/>
      <c r="O7" s="2"/>
      <c r="P7" s="2"/>
      <c r="R7" s="79"/>
    </row>
    <row r="8" spans="2:18" ht="12.75">
      <c r="B8" s="112"/>
      <c r="C8" s="2" t="s">
        <v>140</v>
      </c>
      <c r="D8" s="2"/>
      <c r="E8" s="2"/>
      <c r="F8" s="2"/>
      <c r="G8" s="2"/>
      <c r="H8" s="2"/>
      <c r="I8" s="2"/>
      <c r="J8" s="2"/>
      <c r="K8" s="2"/>
      <c r="L8" s="2"/>
      <c r="M8" s="2"/>
      <c r="N8" s="2"/>
      <c r="O8" s="2"/>
      <c r="P8" s="2"/>
      <c r="R8" s="79"/>
    </row>
    <row r="9" spans="2:18" ht="12.75">
      <c r="B9" s="112" t="s">
        <v>115</v>
      </c>
      <c r="C9" s="2"/>
      <c r="D9" s="2"/>
      <c r="E9" s="2"/>
      <c r="F9" s="2"/>
      <c r="G9" s="2"/>
      <c r="H9" s="2"/>
      <c r="I9" s="2"/>
      <c r="J9" s="2"/>
      <c r="K9" s="2"/>
      <c r="L9" s="2"/>
      <c r="M9" s="2"/>
      <c r="N9" s="2"/>
      <c r="O9" s="2"/>
      <c r="P9" s="2"/>
      <c r="R9" s="79"/>
    </row>
    <row r="10" spans="2:18" ht="12.75">
      <c r="B10" s="112"/>
      <c r="C10" s="2" t="s">
        <v>116</v>
      </c>
      <c r="D10" s="2"/>
      <c r="E10" s="2"/>
      <c r="F10" s="2"/>
      <c r="G10" s="2"/>
      <c r="H10" s="2"/>
      <c r="I10" s="2"/>
      <c r="J10" s="2"/>
      <c r="K10" s="2"/>
      <c r="L10" s="2"/>
      <c r="M10" s="2"/>
      <c r="N10" s="2"/>
      <c r="O10" s="2"/>
      <c r="P10" s="2"/>
      <c r="R10" s="79"/>
    </row>
    <row r="11" spans="2:18" ht="12.75">
      <c r="B11" s="238" t="s">
        <v>72</v>
      </c>
      <c r="C11" s="239"/>
      <c r="D11" s="239"/>
      <c r="E11" s="239"/>
      <c r="F11" s="239"/>
      <c r="G11" s="239"/>
      <c r="H11" s="239"/>
      <c r="I11" s="138"/>
      <c r="J11" s="138"/>
      <c r="K11" s="138"/>
      <c r="L11" s="2"/>
      <c r="M11" s="2"/>
      <c r="N11" s="2"/>
      <c r="O11" s="2"/>
      <c r="P11" s="2"/>
      <c r="R11" s="79"/>
    </row>
    <row r="12" spans="2:18" ht="12.75">
      <c r="B12" s="240" t="s">
        <v>73</v>
      </c>
      <c r="C12" s="241"/>
      <c r="D12" s="241"/>
      <c r="E12" s="241"/>
      <c r="F12" s="241"/>
      <c r="G12" s="241"/>
      <c r="H12" s="241"/>
      <c r="I12" s="241"/>
      <c r="J12" s="241"/>
      <c r="K12" s="241"/>
      <c r="L12" s="2"/>
      <c r="M12" s="2"/>
      <c r="N12" s="2"/>
      <c r="O12" s="2"/>
      <c r="P12" s="2"/>
      <c r="R12" s="79"/>
    </row>
    <row r="13" spans="2:18" ht="12.75">
      <c r="B13" s="238" t="s">
        <v>76</v>
      </c>
      <c r="C13" s="239"/>
      <c r="D13" s="239"/>
      <c r="E13" s="239"/>
      <c r="F13" s="239"/>
      <c r="G13" s="239"/>
      <c r="H13" s="239"/>
      <c r="I13" s="138"/>
      <c r="J13" s="138"/>
      <c r="K13" s="137"/>
      <c r="L13" s="2"/>
      <c r="M13" s="2"/>
      <c r="N13" s="2"/>
      <c r="O13" s="2"/>
      <c r="P13" s="2"/>
      <c r="R13" s="79"/>
    </row>
    <row r="14" spans="2:18" ht="12.75">
      <c r="B14" s="240" t="s">
        <v>77</v>
      </c>
      <c r="C14" s="239"/>
      <c r="D14" s="239"/>
      <c r="E14" s="239"/>
      <c r="F14" s="137"/>
      <c r="G14" s="137"/>
      <c r="H14" s="137"/>
      <c r="I14" s="137"/>
      <c r="J14" s="137"/>
      <c r="K14" s="137"/>
      <c r="L14" s="2"/>
      <c r="M14" s="2"/>
      <c r="N14" s="2"/>
      <c r="O14" s="2"/>
      <c r="P14" s="2"/>
      <c r="R14" s="79"/>
    </row>
    <row r="15" spans="2:18" ht="12.75">
      <c r="B15" s="240" t="s">
        <v>78</v>
      </c>
      <c r="C15" s="239"/>
      <c r="D15" s="239"/>
      <c r="E15" s="239"/>
      <c r="F15" s="239"/>
      <c r="G15" s="239"/>
      <c r="H15" s="239"/>
      <c r="I15" s="239"/>
      <c r="J15" s="239"/>
      <c r="K15" s="239"/>
      <c r="L15" s="2"/>
      <c r="M15" s="2"/>
      <c r="N15" s="2"/>
      <c r="O15" s="2"/>
      <c r="P15" s="2"/>
      <c r="R15" s="79"/>
    </row>
    <row r="16" spans="2:18" ht="12.75">
      <c r="B16" s="78" t="s">
        <v>4</v>
      </c>
      <c r="C16" s="2"/>
      <c r="D16" s="2"/>
      <c r="E16" s="2"/>
      <c r="F16" s="2"/>
      <c r="G16" s="2"/>
      <c r="H16" s="2"/>
      <c r="I16" s="2"/>
      <c r="J16" s="2"/>
      <c r="K16" s="2"/>
      <c r="L16" s="2"/>
      <c r="M16" s="2"/>
      <c r="N16" s="2"/>
      <c r="O16" s="2"/>
      <c r="P16" s="2"/>
      <c r="R16" s="79"/>
    </row>
    <row r="17" spans="2:18" ht="12.75">
      <c r="B17" s="78" t="s">
        <v>0</v>
      </c>
      <c r="C17" s="2"/>
      <c r="D17" s="2"/>
      <c r="E17" s="2"/>
      <c r="F17" s="2"/>
      <c r="G17" s="2"/>
      <c r="H17" s="2"/>
      <c r="I17" s="2"/>
      <c r="J17" s="2"/>
      <c r="K17" s="2"/>
      <c r="L17" s="2"/>
      <c r="M17" s="2"/>
      <c r="N17" s="2"/>
      <c r="O17" s="2"/>
      <c r="P17" s="2"/>
      <c r="R17" s="79"/>
    </row>
    <row r="18" spans="2:18" ht="12.75">
      <c r="B18" s="78" t="s">
        <v>5</v>
      </c>
      <c r="C18" s="2"/>
      <c r="D18" s="2"/>
      <c r="E18" s="2"/>
      <c r="F18" s="2"/>
      <c r="G18" s="2"/>
      <c r="H18" s="2"/>
      <c r="I18" s="2"/>
      <c r="J18" s="2"/>
      <c r="K18" s="2"/>
      <c r="L18" s="2"/>
      <c r="M18" s="2"/>
      <c r="N18" s="2"/>
      <c r="O18" s="2"/>
      <c r="P18" s="2"/>
      <c r="R18" s="79"/>
    </row>
    <row r="19" spans="1:25" ht="12.75" customHeight="1">
      <c r="A19" s="145"/>
      <c r="B19" s="78" t="s">
        <v>61</v>
      </c>
      <c r="C19" s="2"/>
      <c r="D19" s="2"/>
      <c r="E19" s="2"/>
      <c r="F19" s="2"/>
      <c r="G19" s="2"/>
      <c r="H19" s="2"/>
      <c r="I19" s="2"/>
      <c r="J19" s="2"/>
      <c r="K19" s="2"/>
      <c r="L19" s="2"/>
      <c r="M19" s="2"/>
      <c r="N19" s="2"/>
      <c r="O19" s="2"/>
      <c r="P19" s="2"/>
      <c r="R19" s="79"/>
      <c r="Y19" s="146"/>
    </row>
    <row r="20" spans="1:25" ht="12.75" customHeight="1">
      <c r="A20" s="145"/>
      <c r="B20" s="78"/>
      <c r="C20" s="2" t="s">
        <v>81</v>
      </c>
      <c r="D20" s="2"/>
      <c r="E20" s="2"/>
      <c r="F20" s="2"/>
      <c r="G20" s="2"/>
      <c r="H20" s="2"/>
      <c r="I20" s="2"/>
      <c r="J20" s="2"/>
      <c r="K20" s="2"/>
      <c r="L20" s="2"/>
      <c r="M20" s="2"/>
      <c r="N20" s="2"/>
      <c r="O20" s="2"/>
      <c r="P20" s="2"/>
      <c r="R20" s="79"/>
      <c r="Y20" s="146"/>
    </row>
    <row r="21" spans="2:18" ht="12.75">
      <c r="B21" s="78" t="s">
        <v>14</v>
      </c>
      <c r="C21" s="2"/>
      <c r="D21" s="2"/>
      <c r="E21" s="2"/>
      <c r="F21" s="2"/>
      <c r="G21" s="2"/>
      <c r="H21" s="2"/>
      <c r="I21" s="2"/>
      <c r="J21" s="2"/>
      <c r="K21" s="2"/>
      <c r="L21" s="2"/>
      <c r="M21" s="2"/>
      <c r="N21" s="2"/>
      <c r="O21" s="2"/>
      <c r="P21" s="2"/>
      <c r="R21" s="79"/>
    </row>
    <row r="22" spans="2:18" ht="12.75">
      <c r="B22" s="78" t="s">
        <v>99</v>
      </c>
      <c r="C22" s="2"/>
      <c r="D22" s="2"/>
      <c r="E22" s="2"/>
      <c r="F22" s="2"/>
      <c r="G22" s="2"/>
      <c r="H22" s="2"/>
      <c r="I22" s="2"/>
      <c r="J22" s="2"/>
      <c r="K22" s="2"/>
      <c r="L22" s="2"/>
      <c r="M22" s="2"/>
      <c r="N22" s="2"/>
      <c r="O22" s="2"/>
      <c r="P22" s="2"/>
      <c r="R22" s="79"/>
    </row>
    <row r="23" spans="2:18" ht="12.75">
      <c r="B23" s="78"/>
      <c r="C23" s="2" t="s">
        <v>1</v>
      </c>
      <c r="D23" s="2"/>
      <c r="E23" s="2"/>
      <c r="F23" s="2"/>
      <c r="G23" s="2"/>
      <c r="H23" s="2"/>
      <c r="I23" s="2"/>
      <c r="J23" s="2"/>
      <c r="K23" s="2"/>
      <c r="L23" s="2"/>
      <c r="M23" s="2"/>
      <c r="N23" s="2"/>
      <c r="O23" s="2"/>
      <c r="P23" s="2"/>
      <c r="R23" s="79"/>
    </row>
    <row r="24" spans="2:18" ht="12.75">
      <c r="B24" s="78" t="s">
        <v>8</v>
      </c>
      <c r="C24" s="2"/>
      <c r="D24" s="2"/>
      <c r="E24" s="2"/>
      <c r="F24" s="2"/>
      <c r="G24" s="2"/>
      <c r="H24" s="2"/>
      <c r="I24" s="2"/>
      <c r="J24" s="2"/>
      <c r="K24" s="2"/>
      <c r="L24" s="2"/>
      <c r="M24" s="2"/>
      <c r="N24" s="2"/>
      <c r="O24" s="2"/>
      <c r="P24" s="2"/>
      <c r="R24" s="79"/>
    </row>
    <row r="25" spans="1:25" ht="12.75" customHeight="1">
      <c r="A25" s="145"/>
      <c r="B25" s="159" t="s">
        <v>111</v>
      </c>
      <c r="C25" s="2"/>
      <c r="D25" s="2"/>
      <c r="E25" s="2"/>
      <c r="F25" s="2"/>
      <c r="G25" s="2"/>
      <c r="H25" s="2"/>
      <c r="I25" s="2"/>
      <c r="J25" s="2"/>
      <c r="K25" s="2"/>
      <c r="L25" s="2"/>
      <c r="M25" s="2"/>
      <c r="N25" s="2"/>
      <c r="O25" s="2"/>
      <c r="P25" s="2"/>
      <c r="R25" s="79"/>
      <c r="Y25" s="146"/>
    </row>
    <row r="26" spans="2:18" ht="13.5" thickBot="1">
      <c r="B26" s="105"/>
      <c r="C26" s="106"/>
      <c r="D26" s="106"/>
      <c r="E26" s="106"/>
      <c r="F26" s="106"/>
      <c r="G26" s="106"/>
      <c r="H26" s="106"/>
      <c r="I26" s="106"/>
      <c r="J26" s="106"/>
      <c r="K26" s="106"/>
      <c r="L26" s="106"/>
      <c r="M26" s="106"/>
      <c r="N26" s="106"/>
      <c r="O26" s="106"/>
      <c r="P26" s="106"/>
      <c r="Q26" s="106"/>
      <c r="R26" s="107"/>
    </row>
    <row r="27" spans="2:18" ht="12.75">
      <c r="B27" s="139" t="s">
        <v>107</v>
      </c>
      <c r="C27" s="140"/>
      <c r="D27" s="140"/>
      <c r="E27" s="140"/>
      <c r="F27" s="140"/>
      <c r="G27" s="140"/>
      <c r="H27" s="140"/>
      <c r="I27" s="140"/>
      <c r="J27" s="140"/>
      <c r="K27" s="140"/>
      <c r="L27" s="140"/>
      <c r="M27" s="140"/>
      <c r="N27" s="140"/>
      <c r="O27" s="140"/>
      <c r="P27" s="140"/>
      <c r="Q27" s="140"/>
      <c r="R27" s="141"/>
    </row>
    <row r="28" spans="2:18" ht="12.75">
      <c r="B28" s="78" t="s">
        <v>131</v>
      </c>
      <c r="C28" s="2"/>
      <c r="D28" s="2"/>
      <c r="E28" s="2"/>
      <c r="F28" s="2"/>
      <c r="G28" s="2"/>
      <c r="H28" s="2"/>
      <c r="I28" s="2"/>
      <c r="J28" s="2"/>
      <c r="K28" s="2"/>
      <c r="L28" s="2"/>
      <c r="M28" s="2"/>
      <c r="N28" s="2"/>
      <c r="O28" s="2"/>
      <c r="P28" s="2"/>
      <c r="R28" s="79"/>
    </row>
    <row r="29" spans="2:18" ht="12.75">
      <c r="B29" s="78" t="s">
        <v>126</v>
      </c>
      <c r="C29" s="2"/>
      <c r="D29" s="2"/>
      <c r="E29" s="2"/>
      <c r="F29" s="2"/>
      <c r="G29" s="2"/>
      <c r="H29" s="2"/>
      <c r="I29" s="2"/>
      <c r="J29" s="2"/>
      <c r="K29" s="2"/>
      <c r="L29" s="2"/>
      <c r="M29" s="2"/>
      <c r="N29" s="2"/>
      <c r="O29" s="2"/>
      <c r="P29" s="2"/>
      <c r="R29" s="79"/>
    </row>
    <row r="30" spans="2:18" ht="12.75">
      <c r="B30" s="78" t="s">
        <v>132</v>
      </c>
      <c r="C30" s="2"/>
      <c r="D30" s="2"/>
      <c r="E30" s="2"/>
      <c r="F30" s="2"/>
      <c r="G30" s="2"/>
      <c r="H30" s="2"/>
      <c r="I30" s="2"/>
      <c r="J30" s="2"/>
      <c r="K30" s="2"/>
      <c r="L30" s="2"/>
      <c r="M30" s="2"/>
      <c r="N30" s="2"/>
      <c r="O30" s="2"/>
      <c r="P30" s="2"/>
      <c r="R30" s="79"/>
    </row>
    <row r="31" spans="2:18" ht="12.75">
      <c r="B31" s="78"/>
      <c r="C31" s="2"/>
      <c r="D31" s="2"/>
      <c r="E31" s="2"/>
      <c r="G31" s="175" t="s">
        <v>122</v>
      </c>
      <c r="H31" s="176">
        <v>90</v>
      </c>
      <c r="I31" s="2"/>
      <c r="J31" s="2"/>
      <c r="K31" s="2"/>
      <c r="L31" s="2"/>
      <c r="M31" s="2"/>
      <c r="N31" s="2"/>
      <c r="O31" s="2"/>
      <c r="P31" s="2"/>
      <c r="R31" s="79"/>
    </row>
    <row r="32" spans="2:18" ht="12.75">
      <c r="B32" s="78" t="s">
        <v>123</v>
      </c>
      <c r="C32" s="2"/>
      <c r="D32" s="2"/>
      <c r="E32" s="2"/>
      <c r="F32" s="2"/>
      <c r="G32" s="2"/>
      <c r="H32" s="2"/>
      <c r="I32" s="2"/>
      <c r="J32" s="2"/>
      <c r="K32" s="2"/>
      <c r="L32" s="2"/>
      <c r="M32" s="2"/>
      <c r="N32" s="2"/>
      <c r="O32" s="2"/>
      <c r="P32" s="2"/>
      <c r="R32" s="79"/>
    </row>
    <row r="33" spans="2:18" ht="12.75">
      <c r="B33" s="78" t="s">
        <v>130</v>
      </c>
      <c r="C33" s="2"/>
      <c r="D33" s="2"/>
      <c r="E33" s="2"/>
      <c r="F33" s="2"/>
      <c r="G33" s="2"/>
      <c r="H33" s="2"/>
      <c r="I33" s="2"/>
      <c r="J33" s="2"/>
      <c r="K33" s="2"/>
      <c r="L33" s="2"/>
      <c r="M33" s="2"/>
      <c r="N33" s="2"/>
      <c r="O33" s="2"/>
      <c r="P33" s="2"/>
      <c r="R33" s="79"/>
    </row>
    <row r="34" spans="2:18" ht="12.75">
      <c r="B34" s="78" t="s">
        <v>127</v>
      </c>
      <c r="C34" s="2"/>
      <c r="D34" s="2"/>
      <c r="E34" s="2"/>
      <c r="F34" s="2"/>
      <c r="G34" s="2"/>
      <c r="H34" s="2"/>
      <c r="I34" s="2"/>
      <c r="J34" s="2"/>
      <c r="K34" s="2"/>
      <c r="L34" s="2"/>
      <c r="M34" s="2"/>
      <c r="N34" s="2"/>
      <c r="O34" s="2"/>
      <c r="P34" s="2"/>
      <c r="R34" s="79"/>
    </row>
    <row r="35" spans="2:18" ht="12.75">
      <c r="B35" s="78" t="str">
        <f>"The level of the interval is "&amp;H31&amp;"% for non-clinical effects; for clinical effects, it is "&amp;(90+H31/10)&amp;"% on the harm side and "&amp;(100-H31)*5&amp;"% on the beneficial side of the observed effect."</f>
        <v>The level of the interval is 90% for non-clinical effects; for clinical effects, it is 99% on the harm side and 50% on the beneficial side of the observed effect.</v>
      </c>
      <c r="C35" s="2"/>
      <c r="D35" s="2"/>
      <c r="E35" s="2"/>
      <c r="F35" s="2"/>
      <c r="G35" s="2"/>
      <c r="H35" s="2"/>
      <c r="I35" s="2"/>
      <c r="J35" s="2"/>
      <c r="K35" s="2"/>
      <c r="L35" s="2"/>
      <c r="M35" s="2"/>
      <c r="N35" s="2"/>
      <c r="O35" s="2"/>
      <c r="P35" s="2"/>
      <c r="R35" s="79"/>
    </row>
    <row r="36" spans="2:18" ht="12.75">
      <c r="B36" s="78" t="str">
        <f>"I suggest you report "&amp;H31&amp;"% limits for clinical effects, not an asymmetric interval."</f>
        <v>I suggest you report 90% limits for clinical effects, not an asymmetric interval.</v>
      </c>
      <c r="C36" s="2"/>
      <c r="D36" s="2"/>
      <c r="E36" s="2"/>
      <c r="F36" s="2"/>
      <c r="G36" s="2"/>
      <c r="H36" s="2"/>
      <c r="I36" s="2"/>
      <c r="J36" s="2"/>
      <c r="K36" s="2"/>
      <c r="L36" s="2"/>
      <c r="M36" s="2"/>
      <c r="N36" s="2"/>
      <c r="O36" s="2"/>
      <c r="P36" s="2"/>
      <c r="R36" s="79"/>
    </row>
    <row r="37" spans="2:18" ht="13.5" thickBot="1">
      <c r="B37" s="105"/>
      <c r="C37" s="106"/>
      <c r="D37" s="106"/>
      <c r="E37" s="106"/>
      <c r="F37" s="106"/>
      <c r="G37" s="106"/>
      <c r="H37" s="106"/>
      <c r="I37" s="106"/>
      <c r="J37" s="106"/>
      <c r="K37" s="106"/>
      <c r="L37" s="106"/>
      <c r="M37" s="106"/>
      <c r="N37" s="106"/>
      <c r="O37" s="106"/>
      <c r="P37" s="106"/>
      <c r="Q37" s="106"/>
      <c r="R37" s="107"/>
    </row>
    <row r="38" spans="2:18" ht="12.75">
      <c r="B38" s="139" t="s">
        <v>133</v>
      </c>
      <c r="C38" s="140"/>
      <c r="D38" s="140"/>
      <c r="E38" s="140"/>
      <c r="F38" s="140"/>
      <c r="G38" s="140"/>
      <c r="H38" s="140"/>
      <c r="I38" s="140"/>
      <c r="J38" s="140"/>
      <c r="K38" s="140"/>
      <c r="L38" s="140"/>
      <c r="M38" s="140"/>
      <c r="N38" s="140"/>
      <c r="O38" s="140"/>
      <c r="P38" s="140"/>
      <c r="Q38" s="140"/>
      <c r="R38" s="141"/>
    </row>
    <row r="39" spans="2:18" ht="12.75">
      <c r="B39" s="78" t="s">
        <v>135</v>
      </c>
      <c r="C39" s="2"/>
      <c r="D39" s="2"/>
      <c r="E39" s="2"/>
      <c r="F39" s="2"/>
      <c r="G39" s="2"/>
      <c r="H39" s="2"/>
      <c r="I39" s="2"/>
      <c r="J39" s="2"/>
      <c r="K39" s="2"/>
      <c r="L39" s="2"/>
      <c r="M39" s="2"/>
      <c r="N39" s="2"/>
      <c r="O39" s="2"/>
      <c r="P39" s="2"/>
      <c r="R39" s="79"/>
    </row>
    <row r="40" spans="2:18" ht="12.75">
      <c r="B40" s="112"/>
      <c r="C40" s="31" t="s">
        <v>137</v>
      </c>
      <c r="D40" s="2"/>
      <c r="E40" s="2"/>
      <c r="F40" s="2"/>
      <c r="G40" s="2"/>
      <c r="H40" s="2"/>
      <c r="I40" s="2"/>
      <c r="J40" s="2"/>
      <c r="K40" s="2"/>
      <c r="L40" s="2"/>
      <c r="M40" s="2"/>
      <c r="N40" s="2"/>
      <c r="O40" s="2"/>
      <c r="P40" s="2"/>
      <c r="R40" s="79"/>
    </row>
    <row r="41" spans="2:18" ht="12.75">
      <c r="B41" s="78" t="s">
        <v>134</v>
      </c>
      <c r="C41" s="2"/>
      <c r="D41" s="2"/>
      <c r="E41" s="2"/>
      <c r="F41" s="2"/>
      <c r="G41" s="2"/>
      <c r="H41" s="2"/>
      <c r="I41" s="2"/>
      <c r="J41" s="2"/>
      <c r="K41" s="2"/>
      <c r="L41" s="2"/>
      <c r="M41" s="2"/>
      <c r="N41" s="2"/>
      <c r="O41" s="2"/>
      <c r="P41" s="2"/>
      <c r="R41" s="79"/>
    </row>
    <row r="42" spans="2:18" ht="12.75">
      <c r="B42" s="78" t="s">
        <v>136</v>
      </c>
      <c r="C42" s="2"/>
      <c r="D42" s="2"/>
      <c r="E42" s="2"/>
      <c r="F42" s="2"/>
      <c r="G42" s="2"/>
      <c r="H42" s="2"/>
      <c r="I42" s="2"/>
      <c r="J42" s="2"/>
      <c r="K42" s="2"/>
      <c r="L42" s="2"/>
      <c r="M42" s="2"/>
      <c r="N42" s="2"/>
      <c r="O42" s="2"/>
      <c r="P42" s="2"/>
      <c r="R42" s="79"/>
    </row>
    <row r="43" spans="2:18" ht="12.75">
      <c r="B43" s="78" t="s">
        <v>110</v>
      </c>
      <c r="C43" s="2"/>
      <c r="D43" s="2"/>
      <c r="E43" s="2"/>
      <c r="F43" s="2"/>
      <c r="G43" s="2"/>
      <c r="H43" s="2"/>
      <c r="I43" s="2"/>
      <c r="J43" s="2"/>
      <c r="K43" s="2"/>
      <c r="L43" s="2"/>
      <c r="M43" s="2"/>
      <c r="N43" s="2"/>
      <c r="O43" s="2"/>
      <c r="P43" s="2"/>
      <c r="R43" s="79"/>
    </row>
    <row r="44" spans="2:18" ht="12.75">
      <c r="B44" s="78"/>
      <c r="C44" s="2" t="s">
        <v>109</v>
      </c>
      <c r="D44" s="2"/>
      <c r="E44" s="2"/>
      <c r="F44" s="2"/>
      <c r="G44" s="2"/>
      <c r="H44" s="2"/>
      <c r="I44" s="2"/>
      <c r="J44" s="2"/>
      <c r="K44" s="2"/>
      <c r="L44" s="2"/>
      <c r="M44" s="2"/>
      <c r="N44" s="2"/>
      <c r="O44" s="2"/>
      <c r="P44" s="2"/>
      <c r="R44" s="79"/>
    </row>
    <row r="45" spans="2:18" ht="12.75">
      <c r="B45" s="78" t="s">
        <v>124</v>
      </c>
      <c r="C45" s="2"/>
      <c r="D45" s="2"/>
      <c r="E45" s="2"/>
      <c r="F45" s="2"/>
      <c r="G45" s="2"/>
      <c r="H45" s="2"/>
      <c r="I45" s="2"/>
      <c r="J45" s="2"/>
      <c r="K45" s="2"/>
      <c r="L45" s="2"/>
      <c r="M45" s="2"/>
      <c r="N45" s="2"/>
      <c r="O45" s="2"/>
      <c r="P45" s="2"/>
      <c r="R45" s="79"/>
    </row>
    <row r="46" spans="2:18" ht="12.75">
      <c r="B46" s="78"/>
      <c r="C46" s="158" t="str">
        <f>"Clinically unclear: &gt;"&amp;$E$51&amp;"% level for rejection of harm, and &gt;"&amp;$I$51&amp;"% level for rejection of benefit."</f>
        <v>Clinically unclear: &gt;0.5% level for rejection of harm, and &gt;25% level for rejection of benefit.</v>
      </c>
      <c r="D46" s="2"/>
      <c r="E46" s="2"/>
      <c r="F46" s="2"/>
      <c r="G46" s="2"/>
      <c r="H46" s="2"/>
      <c r="I46" s="2"/>
      <c r="J46" s="2"/>
      <c r="K46" s="2"/>
      <c r="L46" s="2"/>
      <c r="M46" s="2"/>
      <c r="N46" s="2"/>
      <c r="O46" s="2"/>
      <c r="P46" s="2"/>
      <c r="R46" s="79"/>
    </row>
    <row r="47" spans="2:18" ht="12.75">
      <c r="B47" s="78"/>
      <c r="C47" s="158" t="str">
        <f>"Non-clinically unclear: &gt;"&amp;$G$51&amp;"% level for rejection of substantially positive (or increase), and &gt;"&amp;G51&amp;"% level for rejection of substantially negative (or decrease)."</f>
        <v>Non-clinically unclear: &gt;5% level for rejection of substantially positive (or increase), and &gt;5% level for rejection of substantially negative (or decrease).</v>
      </c>
      <c r="D47" s="2"/>
      <c r="E47" s="2"/>
      <c r="F47" s="2"/>
      <c r="G47" s="2"/>
      <c r="H47" s="2"/>
      <c r="I47" s="2"/>
      <c r="J47" s="2"/>
      <c r="K47" s="2"/>
      <c r="L47" s="2"/>
      <c r="M47" s="2"/>
      <c r="N47" s="2"/>
      <c r="O47" s="2"/>
      <c r="P47" s="2"/>
      <c r="R47" s="79"/>
    </row>
    <row r="48" spans="2:18" ht="12.75">
      <c r="B48" s="124" t="s">
        <v>145</v>
      </c>
      <c r="C48" s="2"/>
      <c r="D48" s="2"/>
      <c r="E48" s="2"/>
      <c r="F48" s="2"/>
      <c r="G48" s="2"/>
      <c r="H48" s="2"/>
      <c r="I48" s="2"/>
      <c r="J48" s="2"/>
      <c r="K48" s="2"/>
      <c r="L48" s="2"/>
      <c r="M48" s="2"/>
      <c r="N48" s="2"/>
      <c r="O48" s="2"/>
      <c r="P48" s="2"/>
      <c r="R48" s="79"/>
    </row>
    <row r="49" spans="2:18" ht="12.75">
      <c r="B49" s="124" t="s">
        <v>138</v>
      </c>
      <c r="C49" s="2"/>
      <c r="D49" s="2"/>
      <c r="E49" s="2"/>
      <c r="F49" s="2"/>
      <c r="G49" s="2"/>
      <c r="H49" s="2"/>
      <c r="I49" s="2"/>
      <c r="J49" s="2"/>
      <c r="K49" s="2"/>
      <c r="L49" s="2"/>
      <c r="M49" s="2"/>
      <c r="N49" s="2"/>
      <c r="O49" s="2"/>
      <c r="P49" s="2"/>
      <c r="R49" s="79"/>
    </row>
    <row r="50" spans="2:18" ht="6" customHeight="1">
      <c r="B50" s="124"/>
      <c r="C50" s="2"/>
      <c r="D50" s="2"/>
      <c r="E50" s="2"/>
      <c r="F50" s="2"/>
      <c r="G50" s="2"/>
      <c r="H50" s="2"/>
      <c r="I50" s="2"/>
      <c r="J50" s="2"/>
      <c r="K50" s="2"/>
      <c r="L50" s="2"/>
      <c r="M50" s="2"/>
      <c r="N50" s="2"/>
      <c r="O50" s="2"/>
      <c r="P50" s="2"/>
      <c r="R50" s="79"/>
    </row>
    <row r="51" spans="2:18" s="9" customFormat="1" ht="27.75" customHeight="1">
      <c r="B51" s="125"/>
      <c r="C51" s="101">
        <v>0</v>
      </c>
      <c r="D51" s="102" t="s">
        <v>92</v>
      </c>
      <c r="E51" s="171">
        <f>(100-H31)/20/H59</f>
        <v>0.5</v>
      </c>
      <c r="F51" s="102" t="s">
        <v>93</v>
      </c>
      <c r="G51" s="171">
        <f>(100-H31)/2/H59</f>
        <v>5</v>
      </c>
      <c r="H51" s="102" t="s">
        <v>94</v>
      </c>
      <c r="I51" s="171">
        <f>(100-H31)*2.5/H59</f>
        <v>25</v>
      </c>
      <c r="J51" s="102" t="s">
        <v>95</v>
      </c>
      <c r="K51" s="103">
        <f>100-I51</f>
        <v>75</v>
      </c>
      <c r="L51" s="102" t="s">
        <v>98</v>
      </c>
      <c r="M51" s="103">
        <f>100-G51</f>
        <v>95</v>
      </c>
      <c r="N51" s="102" t="s">
        <v>97</v>
      </c>
      <c r="O51" s="103">
        <f>100-E51</f>
        <v>99.5</v>
      </c>
      <c r="P51" s="102" t="s">
        <v>96</v>
      </c>
      <c r="Q51" s="104">
        <v>100</v>
      </c>
      <c r="R51" s="126"/>
    </row>
    <row r="52" spans="2:18" ht="6" customHeight="1">
      <c r="B52" s="124"/>
      <c r="C52" s="2"/>
      <c r="D52" s="2"/>
      <c r="E52" s="2"/>
      <c r="F52" s="2"/>
      <c r="G52" s="2"/>
      <c r="H52" s="2"/>
      <c r="I52" s="2"/>
      <c r="J52" s="2"/>
      <c r="K52" s="2"/>
      <c r="L52" s="2"/>
      <c r="M52" s="2"/>
      <c r="N52" s="2"/>
      <c r="O52" s="2"/>
      <c r="P52" s="2"/>
      <c r="R52" s="79"/>
    </row>
    <row r="53" spans="2:20" s="9" customFormat="1" ht="12.75">
      <c r="B53" s="125"/>
      <c r="C53" s="98" t="s">
        <v>117</v>
      </c>
      <c r="D53" s="60"/>
      <c r="E53" s="60"/>
      <c r="F53" s="62"/>
      <c r="G53" s="60"/>
      <c r="H53" s="62"/>
      <c r="I53" s="60"/>
      <c r="J53" s="62"/>
      <c r="K53" s="60"/>
      <c r="L53" s="61"/>
      <c r="M53" s="60"/>
      <c r="N53" s="61"/>
      <c r="O53" s="60"/>
      <c r="P53" s="61"/>
      <c r="Q53" s="60"/>
      <c r="R53" s="126"/>
      <c r="S53" s="10"/>
      <c r="T53" s="10"/>
    </row>
    <row r="54" spans="2:18" ht="12.75">
      <c r="B54" s="124"/>
      <c r="C54" s="2" t="s">
        <v>139</v>
      </c>
      <c r="D54" s="2"/>
      <c r="E54" s="2"/>
      <c r="F54" s="2"/>
      <c r="G54" s="2"/>
      <c r="H54" s="2"/>
      <c r="I54" s="2"/>
      <c r="J54" s="2"/>
      <c r="K54" s="2"/>
      <c r="L54" s="2"/>
      <c r="M54" s="2"/>
      <c r="N54" s="2"/>
      <c r="O54" s="2"/>
      <c r="P54" s="2"/>
      <c r="R54" s="79"/>
    </row>
    <row r="55" spans="2:18" ht="12.75">
      <c r="B55" s="124"/>
      <c r="C55" s="2" t="s">
        <v>128</v>
      </c>
      <c r="D55" s="2"/>
      <c r="E55" s="2"/>
      <c r="F55" s="2"/>
      <c r="G55" s="2"/>
      <c r="H55" s="2"/>
      <c r="I55" s="2"/>
      <c r="J55" s="2"/>
      <c r="K55" s="2"/>
      <c r="L55" s="2"/>
      <c r="M55" s="2"/>
      <c r="N55" s="2"/>
      <c r="O55" s="2"/>
      <c r="P55" s="2"/>
      <c r="R55" s="79"/>
    </row>
    <row r="56" spans="2:18" ht="12.75">
      <c r="B56" s="124"/>
      <c r="C56" s="97" t="s">
        <v>144</v>
      </c>
      <c r="D56" s="2"/>
      <c r="E56" s="2"/>
      <c r="F56" s="2"/>
      <c r="G56" s="2"/>
      <c r="H56" s="2"/>
      <c r="I56" s="2"/>
      <c r="J56" s="2"/>
      <c r="K56" s="2"/>
      <c r="L56" s="2"/>
      <c r="M56" s="2"/>
      <c r="N56" s="2"/>
      <c r="O56" s="2"/>
      <c r="P56" s="2"/>
      <c r="R56" s="79"/>
    </row>
    <row r="57" spans="2:18" ht="12.75">
      <c r="B57" s="124" t="s">
        <v>112</v>
      </c>
      <c r="C57" s="97"/>
      <c r="D57" s="2"/>
      <c r="E57" s="2"/>
      <c r="F57" s="2"/>
      <c r="G57" s="2"/>
      <c r="H57" s="2"/>
      <c r="I57" s="2"/>
      <c r="J57" s="2"/>
      <c r="K57" s="2"/>
      <c r="L57" s="2"/>
      <c r="M57" s="2"/>
      <c r="N57" s="2"/>
      <c r="O57" s="2"/>
      <c r="P57" s="2"/>
      <c r="R57" s="79"/>
    </row>
    <row r="58" spans="2:18" ht="12.75">
      <c r="B58" s="124"/>
      <c r="C58" s="97" t="s">
        <v>129</v>
      </c>
      <c r="D58" s="2"/>
      <c r="E58" s="2"/>
      <c r="F58" s="2"/>
      <c r="G58" s="2"/>
      <c r="H58" s="2"/>
      <c r="I58" s="2"/>
      <c r="J58" s="2"/>
      <c r="K58" s="2"/>
      <c r="L58" s="2"/>
      <c r="M58" s="2"/>
      <c r="N58" s="2"/>
      <c r="O58" s="2"/>
      <c r="P58" s="2"/>
      <c r="R58" s="79"/>
    </row>
    <row r="59" spans="2:18" ht="12.75">
      <c r="B59" s="124"/>
      <c r="C59" s="97"/>
      <c r="D59" s="2"/>
      <c r="E59" s="2"/>
      <c r="F59" s="2"/>
      <c r="G59" s="169" t="s">
        <v>113</v>
      </c>
      <c r="H59" s="170">
        <v>1</v>
      </c>
      <c r="I59" s="242" t="s">
        <v>121</v>
      </c>
      <c r="J59" s="243"/>
      <c r="K59" s="243"/>
      <c r="L59" s="243"/>
      <c r="M59" s="243"/>
      <c r="N59" s="2"/>
      <c r="O59" s="2"/>
      <c r="P59" s="2"/>
      <c r="R59" s="79"/>
    </row>
    <row r="60" spans="2:18" ht="12.75">
      <c r="B60" s="78" t="s">
        <v>86</v>
      </c>
      <c r="C60" s="2"/>
      <c r="D60" s="2"/>
      <c r="E60" s="2"/>
      <c r="F60" s="2"/>
      <c r="G60" s="2"/>
      <c r="H60" s="2"/>
      <c r="I60" s="2"/>
      <c r="J60" s="2"/>
      <c r="K60" s="2"/>
      <c r="L60" s="2"/>
      <c r="M60" s="2"/>
      <c r="N60" s="2"/>
      <c r="O60" s="2"/>
      <c r="P60" s="2"/>
      <c r="R60" s="79"/>
    </row>
    <row r="61" spans="1:18" ht="12.75" customHeight="1">
      <c r="A61" s="2"/>
      <c r="B61" s="78"/>
      <c r="C61" s="2" t="s">
        <v>56</v>
      </c>
      <c r="D61" s="2"/>
      <c r="E61" s="2"/>
      <c r="F61" s="2"/>
      <c r="G61" s="2"/>
      <c r="H61" s="2"/>
      <c r="I61" s="2"/>
      <c r="J61" s="2"/>
      <c r="K61" s="2"/>
      <c r="L61" s="2"/>
      <c r="M61" s="2"/>
      <c r="N61" s="2"/>
      <c r="O61" s="2"/>
      <c r="P61" s="2"/>
      <c r="R61" s="79"/>
    </row>
    <row r="62" spans="1:18" ht="12.75" customHeight="1">
      <c r="A62" s="2"/>
      <c r="B62" s="78"/>
      <c r="C62" s="2" t="s">
        <v>82</v>
      </c>
      <c r="D62" s="2"/>
      <c r="E62" s="2"/>
      <c r="F62" s="2"/>
      <c r="G62" s="2"/>
      <c r="H62" s="2"/>
      <c r="I62" s="2"/>
      <c r="J62" s="2"/>
      <c r="K62" s="2"/>
      <c r="L62" s="2"/>
      <c r="M62" s="2"/>
      <c r="N62" s="2"/>
      <c r="O62" s="2"/>
      <c r="P62" s="2"/>
      <c r="R62" s="79"/>
    </row>
    <row r="63" spans="1:18" ht="12.75" customHeight="1">
      <c r="A63" s="2"/>
      <c r="B63" s="78"/>
      <c r="C63" s="97" t="s">
        <v>118</v>
      </c>
      <c r="D63" s="2"/>
      <c r="E63" s="2"/>
      <c r="F63" s="2"/>
      <c r="G63" s="2"/>
      <c r="H63" s="2"/>
      <c r="I63" s="2"/>
      <c r="J63" s="2"/>
      <c r="K63" s="2"/>
      <c r="L63" s="2"/>
      <c r="M63" s="2"/>
      <c r="N63" s="2"/>
      <c r="O63" s="2"/>
      <c r="P63" s="2"/>
      <c r="R63" s="79"/>
    </row>
    <row r="64" spans="2:18" ht="12.75">
      <c r="B64" s="78"/>
      <c r="C64" s="179" t="s">
        <v>146</v>
      </c>
      <c r="D64" s="2"/>
      <c r="E64" s="2"/>
      <c r="F64" s="2"/>
      <c r="G64" s="2"/>
      <c r="H64" s="2"/>
      <c r="I64" s="2"/>
      <c r="J64" s="2"/>
      <c r="K64" s="2"/>
      <c r="L64" s="2"/>
      <c r="M64" s="2"/>
      <c r="N64" s="2"/>
      <c r="O64" s="2"/>
      <c r="P64" s="2"/>
      <c r="R64" s="79"/>
    </row>
    <row r="65" spans="2:19" s="9" customFormat="1" ht="9" customHeight="1" thickBot="1">
      <c r="B65" s="127"/>
      <c r="C65" s="128"/>
      <c r="D65" s="129"/>
      <c r="E65" s="130"/>
      <c r="F65" s="131"/>
      <c r="G65" s="131"/>
      <c r="H65" s="131"/>
      <c r="I65" s="130"/>
      <c r="J65" s="131"/>
      <c r="K65" s="130"/>
      <c r="L65" s="132"/>
      <c r="M65" s="130"/>
      <c r="N65" s="132"/>
      <c r="O65" s="130"/>
      <c r="P65" s="132"/>
      <c r="Q65" s="130"/>
      <c r="R65" s="133"/>
      <c r="S65" s="10"/>
    </row>
    <row r="66" spans="2:19" s="9" customFormat="1" ht="13.5" thickBot="1">
      <c r="B66" s="10"/>
      <c r="C66" s="34"/>
      <c r="D66" s="2"/>
      <c r="E66" s="10"/>
      <c r="F66" s="32"/>
      <c r="G66" s="10"/>
      <c r="H66" s="152"/>
      <c r="I66" s="10"/>
      <c r="J66" s="32"/>
      <c r="K66" s="10"/>
      <c r="L66" s="33"/>
      <c r="M66" s="10"/>
      <c r="N66" s="33"/>
      <c r="O66" s="10"/>
      <c r="P66" s="33"/>
      <c r="Q66" s="10"/>
      <c r="R66" s="10"/>
      <c r="S66" s="10"/>
    </row>
    <row r="67" spans="2:18" s="4" customFormat="1" ht="15">
      <c r="B67" s="134" t="s">
        <v>63</v>
      </c>
      <c r="C67" s="135"/>
      <c r="D67" s="135"/>
      <c r="E67" s="135"/>
      <c r="F67" s="135"/>
      <c r="G67" s="135"/>
      <c r="H67" s="135"/>
      <c r="I67" s="135"/>
      <c r="J67" s="135"/>
      <c r="K67" s="135"/>
      <c r="L67" s="135"/>
      <c r="M67" s="135"/>
      <c r="N67" s="135"/>
      <c r="O67" s="135"/>
      <c r="P67" s="135"/>
      <c r="Q67" s="135"/>
      <c r="R67" s="136"/>
    </row>
    <row r="68" spans="2:18" s="4" customFormat="1" ht="14.25">
      <c r="B68" s="96" t="s">
        <v>15</v>
      </c>
      <c r="R68" s="75"/>
    </row>
    <row r="69" spans="2:18" s="4" customFormat="1" ht="14.25">
      <c r="B69" s="78"/>
      <c r="C69" s="2" t="s">
        <v>59</v>
      </c>
      <c r="R69" s="75"/>
    </row>
    <row r="70" spans="2:18" ht="12.75">
      <c r="B70" s="76"/>
      <c r="C70" s="2" t="s">
        <v>16</v>
      </c>
      <c r="D70" s="2"/>
      <c r="E70" s="2"/>
      <c r="F70" s="2"/>
      <c r="G70" s="2"/>
      <c r="H70" s="2"/>
      <c r="I70" s="2"/>
      <c r="J70" s="2"/>
      <c r="K70" s="2"/>
      <c r="L70" s="2"/>
      <c r="M70" s="2"/>
      <c r="N70" s="2"/>
      <c r="O70" s="2"/>
      <c r="P70" s="2"/>
      <c r="R70" s="79"/>
    </row>
    <row r="71" spans="2:18" s="5" customFormat="1" ht="12.75">
      <c r="B71" s="78"/>
      <c r="C71" s="2" t="s">
        <v>80</v>
      </c>
      <c r="D71" s="6"/>
      <c r="E71" s="6"/>
      <c r="F71" s="6"/>
      <c r="G71" s="6"/>
      <c r="H71" s="6"/>
      <c r="I71" s="6"/>
      <c r="J71" s="6"/>
      <c r="K71" s="6"/>
      <c r="L71" s="6"/>
      <c r="M71" s="6"/>
      <c r="N71" s="6"/>
      <c r="O71" s="6"/>
      <c r="P71" s="6"/>
      <c r="Q71" s="6"/>
      <c r="R71" s="77"/>
    </row>
    <row r="72" spans="2:18" s="5" customFormat="1" ht="12.75">
      <c r="B72" s="78" t="s">
        <v>9</v>
      </c>
      <c r="C72" s="6"/>
      <c r="D72" s="6"/>
      <c r="E72" s="6"/>
      <c r="F72" s="6"/>
      <c r="G72" s="6"/>
      <c r="H72" s="6"/>
      <c r="I72" s="6"/>
      <c r="J72" s="6"/>
      <c r="K72" s="6"/>
      <c r="L72" s="6"/>
      <c r="M72" s="6"/>
      <c r="N72" s="6"/>
      <c r="O72" s="6"/>
      <c r="P72" s="6"/>
      <c r="Q72" s="6"/>
      <c r="R72" s="77"/>
    </row>
    <row r="73" spans="2:18" ht="12.75">
      <c r="B73" s="78"/>
      <c r="C73" s="2" t="s">
        <v>10</v>
      </c>
      <c r="D73" s="2"/>
      <c r="E73" s="2"/>
      <c r="F73" s="2"/>
      <c r="G73" s="2"/>
      <c r="H73" s="2"/>
      <c r="I73" s="2"/>
      <c r="J73" s="2"/>
      <c r="K73" s="2"/>
      <c r="L73" s="2"/>
      <c r="M73" s="2"/>
      <c r="N73" s="2"/>
      <c r="O73" s="2"/>
      <c r="P73" s="2"/>
      <c r="R73" s="79"/>
    </row>
    <row r="74" spans="2:18" ht="12.75">
      <c r="B74" s="78"/>
      <c r="C74" s="2" t="s">
        <v>11</v>
      </c>
      <c r="D74" s="2"/>
      <c r="E74" s="2"/>
      <c r="F74" s="2"/>
      <c r="G74" s="2"/>
      <c r="H74" s="2"/>
      <c r="I74" s="2"/>
      <c r="J74" s="2"/>
      <c r="K74" s="2"/>
      <c r="L74" s="2"/>
      <c r="M74" s="2"/>
      <c r="N74" s="2"/>
      <c r="O74" s="2"/>
      <c r="P74" s="2"/>
      <c r="R74" s="79"/>
    </row>
    <row r="75" spans="2:18" ht="12.75">
      <c r="B75" s="78"/>
      <c r="C75" s="2" t="s">
        <v>12</v>
      </c>
      <c r="D75" s="2"/>
      <c r="E75" s="2"/>
      <c r="F75" s="2"/>
      <c r="G75" s="2"/>
      <c r="H75" s="2"/>
      <c r="I75" s="2"/>
      <c r="J75" s="2"/>
      <c r="K75" s="2"/>
      <c r="L75" s="2"/>
      <c r="M75" s="2"/>
      <c r="N75" s="2"/>
      <c r="O75" s="2"/>
      <c r="P75" s="2"/>
      <c r="R75" s="79"/>
    </row>
    <row r="76" spans="2:18" ht="12.75">
      <c r="B76" s="78"/>
      <c r="C76" s="2" t="s">
        <v>13</v>
      </c>
      <c r="D76" s="2"/>
      <c r="E76" s="2"/>
      <c r="F76" s="2"/>
      <c r="G76" s="2"/>
      <c r="H76" s="2"/>
      <c r="I76" s="2"/>
      <c r="J76" s="2"/>
      <c r="K76" s="2"/>
      <c r="L76" s="2"/>
      <c r="M76" s="2"/>
      <c r="N76" s="2"/>
      <c r="O76" s="2"/>
      <c r="P76" s="2"/>
      <c r="R76" s="79"/>
    </row>
    <row r="77" spans="2:18" ht="12.75">
      <c r="B77" s="78"/>
      <c r="C77" s="2" t="s">
        <v>100</v>
      </c>
      <c r="D77" s="2"/>
      <c r="E77" s="2"/>
      <c r="F77" s="2"/>
      <c r="G77" s="2"/>
      <c r="H77" s="2"/>
      <c r="I77" s="2"/>
      <c r="J77" s="2"/>
      <c r="K77" s="2"/>
      <c r="L77" s="2"/>
      <c r="M77" s="2"/>
      <c r="N77" s="2"/>
      <c r="O77" s="2"/>
      <c r="P77" s="2"/>
      <c r="R77" s="79"/>
    </row>
    <row r="78" spans="2:22" s="7" customFormat="1" ht="12.75">
      <c r="B78" s="80"/>
      <c r="C78" s="81"/>
      <c r="D78" s="8"/>
      <c r="E78" s="8"/>
      <c r="F78" s="8"/>
      <c r="G78" s="8"/>
      <c r="H78" s="8"/>
      <c r="I78" s="8"/>
      <c r="J78" s="8"/>
      <c r="K78" s="8"/>
      <c r="L78" s="8"/>
      <c r="M78" s="8"/>
      <c r="N78" s="8"/>
      <c r="O78" s="8"/>
      <c r="P78" s="8"/>
      <c r="Q78" s="8"/>
      <c r="R78" s="82"/>
      <c r="T78" s="1"/>
      <c r="U78" s="1"/>
      <c r="V78" s="1"/>
    </row>
    <row r="79" spans="2:20" ht="12.75">
      <c r="B79" s="83"/>
      <c r="C79" s="67"/>
      <c r="D79" s="84"/>
      <c r="E79" s="67"/>
      <c r="F79" s="67"/>
      <c r="G79" s="67"/>
      <c r="H79" s="67"/>
      <c r="I79" s="223" t="s">
        <v>89</v>
      </c>
      <c r="J79" s="223"/>
      <c r="K79" s="223"/>
      <c r="L79" s="223"/>
      <c r="M79" s="67"/>
      <c r="N79" s="67"/>
      <c r="O79" s="67"/>
      <c r="P79" s="67"/>
      <c r="Q79" s="67"/>
      <c r="R79" s="85"/>
      <c r="T79" s="21" t="s">
        <v>88</v>
      </c>
    </row>
    <row r="80" spans="2:22" s="3" customFormat="1" ht="12.75" customHeight="1">
      <c r="B80" s="86"/>
      <c r="C80" s="190" t="s">
        <v>42</v>
      </c>
      <c r="D80" s="190" t="s">
        <v>41</v>
      </c>
      <c r="E80" s="190" t="s">
        <v>40</v>
      </c>
      <c r="F80" s="190" t="s">
        <v>119</v>
      </c>
      <c r="G80" s="181" t="s">
        <v>43</v>
      </c>
      <c r="H80" s="182"/>
      <c r="I80" s="183" t="s">
        <v>39</v>
      </c>
      <c r="J80" s="184"/>
      <c r="K80" s="184"/>
      <c r="L80" s="185"/>
      <c r="M80" s="200" t="s">
        <v>125</v>
      </c>
      <c r="N80" s="201"/>
      <c r="O80" s="201"/>
      <c r="P80" s="201"/>
      <c r="Q80" s="201"/>
      <c r="R80" s="202"/>
      <c r="T80" s="160" t="s">
        <v>87</v>
      </c>
      <c r="U80" s="160" t="s">
        <v>87</v>
      </c>
      <c r="V80" s="160" t="s">
        <v>87</v>
      </c>
    </row>
    <row r="81" spans="2:22" s="3" customFormat="1" ht="12.75" customHeight="1">
      <c r="B81" s="86"/>
      <c r="C81" s="191"/>
      <c r="D81" s="191"/>
      <c r="E81" s="191"/>
      <c r="F81" s="191"/>
      <c r="G81" s="63" t="s">
        <v>52</v>
      </c>
      <c r="H81" s="65" t="s">
        <v>53</v>
      </c>
      <c r="I81" s="186" t="str">
        <f>"value, with "&amp;F83&amp;"% compatibility interval"</f>
        <v>value, with 90% compatibility interval</v>
      </c>
      <c r="J81" s="187"/>
      <c r="K81" s="186" t="str">
        <f>"or value, with ±"&amp;F83&amp;"% compatibility limits"</f>
        <v>or value, with ±90% compatibility limits</v>
      </c>
      <c r="L81" s="187"/>
      <c r="M81" s="203" t="str">
        <f>"beneficial or
substantially "&amp;G82</f>
        <v>beneficial or
substantially +ive</v>
      </c>
      <c r="N81" s="204"/>
      <c r="O81" s="224" t="s">
        <v>18</v>
      </c>
      <c r="P81" s="225"/>
      <c r="Q81" s="193" t="str">
        <f>"harmful or 
substantially "&amp;H82</f>
        <v>harmful or 
substantially -ive</v>
      </c>
      <c r="R81" s="194"/>
      <c r="S81" s="31"/>
      <c r="T81" s="217" t="s">
        <v>108</v>
      </c>
      <c r="U81" s="218"/>
      <c r="V81" s="219"/>
    </row>
    <row r="82" spans="2:22" s="3" customFormat="1" ht="12.75" customHeight="1">
      <c r="B82" s="86"/>
      <c r="C82" s="192"/>
      <c r="D82" s="192"/>
      <c r="E82" s="192"/>
      <c r="F82" s="192"/>
      <c r="G82" s="64" t="str">
        <f>IF(ISBLANK(G83),"???",IF(G83&lt;0,"-ive","+ive"))</f>
        <v>+ive</v>
      </c>
      <c r="H82" s="66" t="str">
        <f>IF(TYPE(H83)=2,"???",IF(H83&lt;0,"-ive","+ive"))</f>
        <v>-ive</v>
      </c>
      <c r="I82" s="188"/>
      <c r="J82" s="189"/>
      <c r="K82" s="188"/>
      <c r="L82" s="189"/>
      <c r="M82" s="205"/>
      <c r="N82" s="206"/>
      <c r="O82" s="226"/>
      <c r="P82" s="227"/>
      <c r="Q82" s="195"/>
      <c r="R82" s="196"/>
      <c r="S82" s="31"/>
      <c r="T82" s="49" t="s">
        <v>21</v>
      </c>
      <c r="U82" s="49" t="s">
        <v>22</v>
      </c>
      <c r="V82" s="45" t="s">
        <v>23</v>
      </c>
    </row>
    <row r="83" spans="2:22" s="3" customFormat="1" ht="12.75" customHeight="1">
      <c r="B83" s="86"/>
      <c r="C83" s="36">
        <v>0.1</v>
      </c>
      <c r="D83" s="17">
        <v>1.3</v>
      </c>
      <c r="E83" s="37">
        <v>18</v>
      </c>
      <c r="F83" s="39">
        <f>$H$31</f>
        <v>90</v>
      </c>
      <c r="G83" s="38">
        <v>0.5</v>
      </c>
      <c r="H83" s="39">
        <f>IF(ISBLANK(G83)," ",-G83)</f>
        <v>-0.5</v>
      </c>
      <c r="I83" s="210" t="str">
        <f>ROUND(D83,1-INT(IF(ISERROR(LOG10(ABS(D83))),0,LOG10(ABS(D83)))))&amp;", "&amp;ROUND(T83,1-INT(IF(ISERROR(LOG10(ABS(T83))),0,LOG10(ABS(T83)))))&amp;" to "&amp;ROUND(U83,1-INT(IF(ISERROR(LOG10(ABS(U83))),0,LOG10(ABS(U83)))))</f>
        <v>1.3, 0 to 2.6</v>
      </c>
      <c r="J83" s="211"/>
      <c r="K83" s="212" t="str">
        <f>ROUND(D83,1-INT(IF(ISERROR(LOG10(ABS(D83))),0,LOG10(ABS(D83)))))&amp;", ±"&amp;ROUND(V83,1-INT(IF(ISERROR(LOG10(ABS(V83))),0,LOG10(ABS(V83)))))</f>
        <v>1.3, ±1.3</v>
      </c>
      <c r="L83" s="213"/>
      <c r="M83" s="99">
        <f>100*IF(G83&gt;0,IF(D83-G83&gt;0,1-TDIST((D83-G83)/ABS(D83)*TINV(C83,E83),E83,1),TDIST((G83-D83)/ABS(D83)*TINV(C83,E83),E83,1)),IF(D83-G83&gt;0,TDIST((D83-G83)/ABS(D83)*TINV(C83,E83),E83,1),1-TDIST((G83-D83)/ABS(D83)*TINV(C83,E83),E83,1)))</f>
        <v>84.99882583576489</v>
      </c>
      <c r="N83" s="100" t="str">
        <f>"%"</f>
        <v>%</v>
      </c>
      <c r="O83" s="99">
        <f>100-M83-Q83</f>
        <v>13.632674071804736</v>
      </c>
      <c r="P83" s="100" t="str">
        <f>"%"</f>
        <v>%</v>
      </c>
      <c r="Q83" s="99">
        <f>100*IF(H83&gt;0,IF(D83-H83&gt;0,1-TDIST((D83-H83)/ABS(D83)*TINV(C83,E83),E83,1),TDIST((H83-D83)/ABS(D83)*TINV(C83,E83),E83,1)),IF(D83-H83&gt;0,TDIST((D83-H83)/ABS(D83)*TINV(C83,E83),E83,1),1-TDIST((H83-D83)/ABS(D83)*TINV(C83,E83),E83,1)))</f>
        <v>1.3685000924303734</v>
      </c>
      <c r="R83" s="174" t="str">
        <f>"%"</f>
        <v>%</v>
      </c>
      <c r="S83" s="31"/>
      <c r="T83" s="161">
        <f>D83-TINV((100-F83)/100,E83)*ABS(D83)/TINV(C83,E83)</f>
        <v>0</v>
      </c>
      <c r="U83" s="161">
        <f>D83+TINV((100-F83)/100,E83)*ABS(D83)/TINV(C83,E83)</f>
        <v>2.6</v>
      </c>
      <c r="V83" s="162">
        <f>(U83-T83)/2</f>
        <v>1.3</v>
      </c>
    </row>
    <row r="84" spans="2:20" s="3" customFormat="1" ht="12.75" customHeight="1">
      <c r="B84" s="86"/>
      <c r="C84" s="220" t="str">
        <f>"Clinical decision: "&amp;IF(M83&lt;$I$51,IF(MAX(O83,Q83)=O83,O84&amp;" trivial; don't use",Q84&amp;" harmful; don't use"),IF(Q83&lt;$E$51,M84&amp;" beneficial; consider using","unclear; don't use; get more data"))&amp;".   Non-clinical decision: "&amp;IF(MIN(M83,Q83)&gt;$G$51,"unclear; get more data",IF(M83&gt;$I$51,M84&amp;" "&amp;G82,IF(Q83&gt;$I$51,Q84&amp;" "&amp;H82,O84&amp;" trivial")))&amp;"."</f>
        <v>Clinical decision: unclear; don't use; get more data.   Non-clinical decision: weakly compatible +ive.</v>
      </c>
      <c r="D84" s="221"/>
      <c r="E84" s="221"/>
      <c r="F84" s="221"/>
      <c r="G84" s="221"/>
      <c r="H84" s="221"/>
      <c r="I84" s="221"/>
      <c r="J84" s="221"/>
      <c r="K84" s="221"/>
      <c r="L84" s="222"/>
      <c r="M84" s="197" t="str">
        <f>IF(M83&lt;$E$51,$D$51,IF(M83&lt;$G$51,$F$51,IF(M83&lt;$I$51,$H$51,IF(M83&lt;$K$51,$J$51,IF(M83&lt;$M$51,$L$51,IF(M83&lt;$O$51,$N$51,$P$51))))))</f>
        <v>weakly compatible</v>
      </c>
      <c r="N84" s="198"/>
      <c r="O84" s="197" t="str">
        <f>IF(O83&lt;$E$51,$D$51,IF(O83&lt;$G$51,$F$51,IF(O83&lt;$I$51,$H$51,IF(O83&lt;$K$51,$J$51,IF(O83&lt;$M$51,$L$51,IF(O83&lt;$O$51,$N$51,$P$51))))))</f>
        <v>weakly reject</v>
      </c>
      <c r="P84" s="198"/>
      <c r="Q84" s="197" t="str">
        <f>IF(Q83&lt;$E$51,$D$51,IF(Q83&lt;$G$51,$F$51,IF(Q83&lt;$I$51,$H$51,IF(Q83&lt;$K$51,$J$51,IF(Q83&lt;$M$51,$L$51,IF(Q83&lt;$O$51,$N$51,$P$51))))))</f>
        <v>moderately reject</v>
      </c>
      <c r="R84" s="199"/>
      <c r="S84" s="31"/>
      <c r="T84" s="31"/>
    </row>
    <row r="85" spans="2:18" s="2" customFormat="1" ht="12.75">
      <c r="B85" s="87"/>
      <c r="C85" s="68"/>
      <c r="D85" s="69"/>
      <c r="E85" s="70"/>
      <c r="F85" s="71"/>
      <c r="G85" s="67"/>
      <c r="H85" s="173">
        <f>IF(ISNUMBER(G83),IF(OR(SIGN(G83)=SIGN(H83),G83=0,H83=0),"ERROR: thresholds must be non-zero and opposite in sign.",""),"")</f>
      </c>
      <c r="I85" s="67"/>
      <c r="J85" s="67"/>
      <c r="K85" s="67"/>
      <c r="L85" s="67"/>
      <c r="M85" s="72"/>
      <c r="N85" s="67"/>
      <c r="O85" s="67"/>
      <c r="P85" s="73"/>
      <c r="Q85" s="67"/>
      <c r="R85" s="85"/>
    </row>
    <row r="86" spans="2:18" s="3" customFormat="1" ht="12.75" customHeight="1">
      <c r="B86" s="86"/>
      <c r="C86" s="190" t="s">
        <v>42</v>
      </c>
      <c r="D86" s="190" t="s">
        <v>41</v>
      </c>
      <c r="E86" s="190" t="s">
        <v>40</v>
      </c>
      <c r="F86" s="190" t="s">
        <v>119</v>
      </c>
      <c r="G86" s="181" t="s">
        <v>43</v>
      </c>
      <c r="H86" s="189"/>
      <c r="I86" s="183" t="s">
        <v>39</v>
      </c>
      <c r="J86" s="184"/>
      <c r="K86" s="184"/>
      <c r="L86" s="185"/>
      <c r="M86" s="200" t="s">
        <v>125</v>
      </c>
      <c r="N86" s="201"/>
      <c r="O86" s="201"/>
      <c r="P86" s="201"/>
      <c r="Q86" s="201"/>
      <c r="R86" s="202"/>
    </row>
    <row r="87" spans="2:22" s="3" customFormat="1" ht="12.75" customHeight="1">
      <c r="B87" s="86"/>
      <c r="C87" s="191"/>
      <c r="D87" s="191"/>
      <c r="E87" s="191"/>
      <c r="F87" s="191"/>
      <c r="G87" s="63" t="s">
        <v>52</v>
      </c>
      <c r="H87" s="65" t="s">
        <v>53</v>
      </c>
      <c r="I87" s="186" t="str">
        <f>"value, with "&amp;F89&amp;"% compatibility interval"</f>
        <v>value, with 90% compatibility interval</v>
      </c>
      <c r="J87" s="187"/>
      <c r="K87" s="186" t="str">
        <f>"or value, with ±"&amp;F89&amp;"% compatibility limits"</f>
        <v>or value, with ±90% compatibility limits</v>
      </c>
      <c r="L87" s="187"/>
      <c r="M87" s="203" t="str">
        <f>"beneficial or
substantially "&amp;G88</f>
        <v>beneficial or
substantially ???</v>
      </c>
      <c r="N87" s="204"/>
      <c r="O87" s="224" t="s">
        <v>18</v>
      </c>
      <c r="P87" s="225"/>
      <c r="Q87" s="193" t="str">
        <f>"harmful or 
substantially "&amp;H88</f>
        <v>harmful or 
substantially ???</v>
      </c>
      <c r="R87" s="194"/>
      <c r="S87" s="31"/>
      <c r="T87" s="217" t="s">
        <v>108</v>
      </c>
      <c r="U87" s="218"/>
      <c r="V87" s="219"/>
    </row>
    <row r="88" spans="2:22" s="3" customFormat="1" ht="12.75" customHeight="1">
      <c r="B88" s="86"/>
      <c r="C88" s="192"/>
      <c r="D88" s="192"/>
      <c r="E88" s="192"/>
      <c r="F88" s="192"/>
      <c r="G88" s="64" t="str">
        <f>IF(ISBLANK(G89),"???",IF(G89&lt;0,"-ive","+ive"))</f>
        <v>???</v>
      </c>
      <c r="H88" s="66" t="str">
        <f>IF(TYPE(H89)=2,"???",IF(H89&lt;0,"-ive","+ive"))</f>
        <v>???</v>
      </c>
      <c r="I88" s="188"/>
      <c r="J88" s="189"/>
      <c r="K88" s="188"/>
      <c r="L88" s="189"/>
      <c r="M88" s="205"/>
      <c r="N88" s="206"/>
      <c r="O88" s="226"/>
      <c r="P88" s="227"/>
      <c r="Q88" s="195"/>
      <c r="R88" s="196"/>
      <c r="S88" s="31"/>
      <c r="T88" s="49" t="s">
        <v>21</v>
      </c>
      <c r="U88" s="49" t="s">
        <v>22</v>
      </c>
      <c r="V88" s="45" t="s">
        <v>23</v>
      </c>
    </row>
    <row r="89" spans="2:22" s="3" customFormat="1" ht="12.75" customHeight="1">
      <c r="B89" s="86"/>
      <c r="C89" s="36"/>
      <c r="D89" s="17"/>
      <c r="E89" s="37"/>
      <c r="F89" s="39">
        <f>$H$31</f>
        <v>90</v>
      </c>
      <c r="G89" s="38"/>
      <c r="H89" s="39" t="str">
        <f>IF(ISBLANK(G89)," ",-G89)</f>
        <v> </v>
      </c>
      <c r="I89" s="210" t="e">
        <f>ROUND(D89,1-INT(IF(ISERROR(LOG10(ABS(D89))),0,LOG10(ABS(D89)))))&amp;", "&amp;ROUND(T89,1-INT(IF(ISERROR(LOG10(ABS(T89))),0,LOG10(ABS(T89)))))&amp;" to "&amp;ROUND(U89,1-INT(IF(ISERROR(LOG10(ABS(U89))),0,LOG10(ABS(U89)))))</f>
        <v>#NUM!</v>
      </c>
      <c r="J89" s="211"/>
      <c r="K89" s="212" t="e">
        <f>ROUND(D89,1-INT(IF(ISERROR(LOG10(ABS(D89))),0,LOG10(ABS(D89)))))&amp;", ±"&amp;ROUND(V89,1-INT(IF(ISERROR(LOG10(ABS(V89))),0,LOG10(ABS(V89)))))</f>
        <v>#NUM!</v>
      </c>
      <c r="L89" s="213"/>
      <c r="M89" s="99" t="e">
        <f>100*IF(G89&gt;0,IF(D89-G89&gt;0,1-TDIST((D89-G89)/ABS(D89)*TINV(C89,E89),E89,1),TDIST((G89-D89)/ABS(D89)*TINV(C89,E89),E89,1)),IF(D89-G89&gt;0,TDIST((D89-G89)/ABS(D89)*TINV(C89,E89),E89,1),1-TDIST((G89-D89)/ABS(D89)*TINV(C89,E89),E89,1)))</f>
        <v>#DIV/0!</v>
      </c>
      <c r="N89" s="100" t="str">
        <f>"%"</f>
        <v>%</v>
      </c>
      <c r="O89" s="99" t="e">
        <f>100-M89-Q89</f>
        <v>#DIV/0!</v>
      </c>
      <c r="P89" s="100" t="str">
        <f>"%"</f>
        <v>%</v>
      </c>
      <c r="Q89" s="99" t="e">
        <f>100*IF(H89&gt;0,IF(D89-H89&gt;0,1-TDIST((D89-H89)/ABS(D89)*TINV(C89,E89),E89,1),TDIST((H89-D89)/ABS(D89)*TINV(C89,E89),E89,1)),IF(D89-H89&gt;0,TDIST((D89-H89)/ABS(D89)*TINV(C89,E89),E89,1),1-TDIST((H89-D89)/ABS(D89)*TINV(C89,E89),E89,1)))</f>
        <v>#VALUE!</v>
      </c>
      <c r="R89" s="174" t="str">
        <f>"%"</f>
        <v>%</v>
      </c>
      <c r="S89" s="31"/>
      <c r="T89" s="161" t="e">
        <f>D89-TINV((100-F89)/100,E89)*ABS(D89)/TINV(C89,E89)</f>
        <v>#NUM!</v>
      </c>
      <c r="U89" s="161" t="e">
        <f>D89+TINV((100-F89)/100,E89)*ABS(D89)/TINV(C89,E89)</f>
        <v>#NUM!</v>
      </c>
      <c r="V89" s="162" t="e">
        <f>(U89-T89)/2</f>
        <v>#NUM!</v>
      </c>
    </row>
    <row r="90" spans="2:20" s="3" customFormat="1" ht="12.75" customHeight="1">
      <c r="B90" s="86"/>
      <c r="C90" s="220" t="e">
        <f>"Clinical decision: "&amp;IF(M89&lt;$I$51,IF(MAX(O89,Q89)=O89,O90&amp;" trivial; don't use",Q90&amp;" harmful; don't use"),IF(Q89&lt;$E$51,M90&amp;" beneficial; consider using","unclear; don't use; get more data"))&amp;".   Non-clinical decision: "&amp;IF(MIN(M89,Q89)&gt;$G$51,"unclear; get more data",IF(M89&gt;$I$51,M90&amp;" "&amp;G88,IF(Q89&gt;$I$51,Q90&amp;" "&amp;H88,O90&amp;" trivial")))&amp;"."</f>
        <v>#DIV/0!</v>
      </c>
      <c r="D90" s="221"/>
      <c r="E90" s="221"/>
      <c r="F90" s="221"/>
      <c r="G90" s="221"/>
      <c r="H90" s="221"/>
      <c r="I90" s="221"/>
      <c r="J90" s="221"/>
      <c r="K90" s="221"/>
      <c r="L90" s="222"/>
      <c r="M90" s="197" t="e">
        <f>IF(M89&lt;$E$51,$D$51,IF(M89&lt;$G$51,$F$51,IF(M89&lt;$I$51,$H$51,IF(M89&lt;$K$51,$J$51,IF(M89&lt;$M$51,$L$51,IF(M89&lt;$O$51,$N$51,$P$51))))))</f>
        <v>#DIV/0!</v>
      </c>
      <c r="N90" s="198"/>
      <c r="O90" s="197" t="e">
        <f>IF(O89&lt;$E$51,$D$51,IF(O89&lt;$G$51,$F$51,IF(O89&lt;$I$51,$H$51,IF(O89&lt;$K$51,$J$51,IF(O89&lt;$M$51,$L$51,IF(O89&lt;$O$51,$N$51,$P$51))))))</f>
        <v>#DIV/0!</v>
      </c>
      <c r="P90" s="198"/>
      <c r="Q90" s="197" t="e">
        <f>IF(Q89&lt;$E$51,$D$51,IF(Q89&lt;$G$51,$F$51,IF(Q89&lt;$I$51,$H$51,IF(Q89&lt;$K$51,$J$51,IF(Q89&lt;$M$51,$L$51,IF(Q89&lt;$O$51,$N$51,$P$51))))))</f>
        <v>#VALUE!</v>
      </c>
      <c r="R90" s="199"/>
      <c r="S90" s="31"/>
      <c r="T90" s="31"/>
    </row>
    <row r="91" spans="2:18" s="2" customFormat="1" ht="13.5" thickBot="1">
      <c r="B91" s="88"/>
      <c r="C91" s="89"/>
      <c r="D91" s="90"/>
      <c r="E91" s="91"/>
      <c r="F91" s="92"/>
      <c r="G91" s="89"/>
      <c r="H91" s="172">
        <f>IF(ISNUMBER(G89),IF(OR(SIGN(G89)=SIGN(H89),G89=0,H89=0),"ERROR: thresholds must be non-zero and opposite in sign.",""),"")</f>
      </c>
      <c r="I91" s="89"/>
      <c r="J91" s="89"/>
      <c r="K91" s="89"/>
      <c r="L91" s="89"/>
      <c r="M91" s="93"/>
      <c r="N91" s="89"/>
      <c r="O91" s="89"/>
      <c r="P91" s="94"/>
      <c r="Q91" s="89"/>
      <c r="R91" s="95"/>
    </row>
    <row r="92" spans="3:17" ht="13.5" thickBot="1">
      <c r="C92" s="35"/>
      <c r="F92" s="12"/>
      <c r="M92" s="13"/>
      <c r="N92" s="2"/>
      <c r="P92" s="14"/>
      <c r="Q92" s="1"/>
    </row>
    <row r="93" spans="2:18" s="4" customFormat="1" ht="15">
      <c r="B93" s="134" t="s">
        <v>74</v>
      </c>
      <c r="C93" s="135"/>
      <c r="D93" s="135"/>
      <c r="E93" s="135"/>
      <c r="F93" s="135"/>
      <c r="G93" s="135"/>
      <c r="H93" s="135"/>
      <c r="I93" s="135"/>
      <c r="J93" s="135"/>
      <c r="K93" s="135"/>
      <c r="L93" s="135"/>
      <c r="M93" s="135"/>
      <c r="N93" s="135"/>
      <c r="O93" s="135"/>
      <c r="P93" s="135"/>
      <c r="Q93" s="135"/>
      <c r="R93" s="136"/>
    </row>
    <row r="94" spans="1:19" ht="12.75" customHeight="1">
      <c r="A94" s="151"/>
      <c r="B94" s="78" t="s">
        <v>67</v>
      </c>
      <c r="C94" s="2"/>
      <c r="D94" s="4"/>
      <c r="E94" s="4"/>
      <c r="F94" s="4"/>
      <c r="G94" s="4"/>
      <c r="H94" s="4"/>
      <c r="I94" s="4"/>
      <c r="J94" s="4"/>
      <c r="K94" s="4"/>
      <c r="L94" s="4"/>
      <c r="M94" s="4"/>
      <c r="N94" s="4"/>
      <c r="O94" s="4"/>
      <c r="P94" s="4"/>
      <c r="Q94" s="4"/>
      <c r="R94" s="75"/>
      <c r="S94" s="146"/>
    </row>
    <row r="95" spans="2:18" s="4" customFormat="1" ht="14.25">
      <c r="B95" s="78"/>
      <c r="C95" s="2" t="s">
        <v>79</v>
      </c>
      <c r="R95" s="75"/>
    </row>
    <row r="96" spans="2:18" ht="12.75">
      <c r="B96" s="76"/>
      <c r="C96" s="2" t="s">
        <v>16</v>
      </c>
      <c r="D96" s="2"/>
      <c r="E96" s="2"/>
      <c r="F96" s="2"/>
      <c r="G96" s="2"/>
      <c r="H96" s="2"/>
      <c r="I96" s="2"/>
      <c r="J96" s="2"/>
      <c r="K96" s="2"/>
      <c r="L96" s="2"/>
      <c r="M96" s="2"/>
      <c r="N96" s="2"/>
      <c r="O96" s="2"/>
      <c r="P96" s="2"/>
      <c r="R96" s="79"/>
    </row>
    <row r="97" spans="2:18" s="5" customFormat="1" ht="12.75">
      <c r="B97" s="78"/>
      <c r="C97" s="2" t="s">
        <v>80</v>
      </c>
      <c r="D97" s="6"/>
      <c r="E97" s="6"/>
      <c r="F97" s="6"/>
      <c r="G97" s="6"/>
      <c r="H97" s="6"/>
      <c r="I97" s="6"/>
      <c r="J97" s="6"/>
      <c r="K97" s="6"/>
      <c r="L97" s="6"/>
      <c r="M97" s="6"/>
      <c r="N97" s="6"/>
      <c r="O97" s="6"/>
      <c r="P97" s="6"/>
      <c r="Q97" s="6"/>
      <c r="R97" s="77"/>
    </row>
    <row r="98" spans="1:19" ht="12.75" customHeight="1">
      <c r="A98" s="151"/>
      <c r="B98" s="78" t="s">
        <v>68</v>
      </c>
      <c r="C98" s="2"/>
      <c r="D98" s="4"/>
      <c r="E98" s="4"/>
      <c r="F98" s="4"/>
      <c r="G98" s="4"/>
      <c r="H98" s="4"/>
      <c r="I98" s="4"/>
      <c r="J98" s="4"/>
      <c r="K98" s="4"/>
      <c r="L98" s="4"/>
      <c r="M98" s="4"/>
      <c r="N98" s="4"/>
      <c r="O98" s="4"/>
      <c r="P98" s="4"/>
      <c r="Q98" s="4"/>
      <c r="R98" s="79"/>
      <c r="S98" s="146"/>
    </row>
    <row r="99" spans="1:19" ht="12.75" customHeight="1">
      <c r="A99" s="151"/>
      <c r="B99" s="78"/>
      <c r="C99" s="2" t="s">
        <v>64</v>
      </c>
      <c r="D99" s="4"/>
      <c r="E99" s="4"/>
      <c r="F99" s="4"/>
      <c r="G99" s="4"/>
      <c r="H99" s="4"/>
      <c r="I99" s="4"/>
      <c r="J99" s="4"/>
      <c r="K99" s="4"/>
      <c r="L99" s="4"/>
      <c r="M99" s="4"/>
      <c r="N99" s="4"/>
      <c r="O99" s="4"/>
      <c r="P99" s="4"/>
      <c r="Q99" s="4"/>
      <c r="R99" s="79"/>
      <c r="S99" s="146"/>
    </row>
    <row r="100" spans="1:19" ht="12.75" customHeight="1">
      <c r="A100" s="151"/>
      <c r="B100" s="78"/>
      <c r="C100" s="2" t="s">
        <v>69</v>
      </c>
      <c r="D100" s="4"/>
      <c r="E100" s="4"/>
      <c r="F100" s="4"/>
      <c r="G100" s="4"/>
      <c r="H100" s="4"/>
      <c r="I100" s="4"/>
      <c r="J100" s="4"/>
      <c r="K100" s="4"/>
      <c r="L100" s="4"/>
      <c r="M100" s="4"/>
      <c r="N100" s="4"/>
      <c r="O100" s="4"/>
      <c r="P100" s="4"/>
      <c r="Q100" s="4"/>
      <c r="R100" s="79"/>
      <c r="S100" s="146"/>
    </row>
    <row r="101" spans="1:19" ht="12.75" customHeight="1">
      <c r="A101" s="151"/>
      <c r="B101" s="78"/>
      <c r="C101" s="2" t="s">
        <v>101</v>
      </c>
      <c r="D101" s="4"/>
      <c r="E101" s="4"/>
      <c r="F101" s="4"/>
      <c r="G101" s="4"/>
      <c r="H101" s="4"/>
      <c r="I101" s="4"/>
      <c r="J101" s="4"/>
      <c r="K101" s="4"/>
      <c r="L101" s="4"/>
      <c r="M101" s="4"/>
      <c r="N101" s="4"/>
      <c r="O101" s="4"/>
      <c r="P101" s="4"/>
      <c r="Q101" s="4"/>
      <c r="R101" s="79"/>
      <c r="S101" s="146"/>
    </row>
    <row r="102" spans="2:19" ht="12.75" customHeight="1">
      <c r="B102" s="124" t="s">
        <v>65</v>
      </c>
      <c r="C102" s="2"/>
      <c r="D102" s="6"/>
      <c r="E102" s="6"/>
      <c r="F102" s="6"/>
      <c r="G102" s="6"/>
      <c r="H102" s="6"/>
      <c r="I102" s="6"/>
      <c r="J102" s="6"/>
      <c r="K102" s="6"/>
      <c r="L102" s="6"/>
      <c r="M102" s="6"/>
      <c r="N102" s="6"/>
      <c r="O102" s="6"/>
      <c r="P102" s="6"/>
      <c r="Q102" s="6"/>
      <c r="R102" s="151"/>
      <c r="S102" s="146"/>
    </row>
    <row r="103" spans="2:22" s="7" customFormat="1" ht="12.75">
      <c r="B103" s="80"/>
      <c r="C103" s="81"/>
      <c r="D103" s="8"/>
      <c r="E103" s="8"/>
      <c r="F103" s="8"/>
      <c r="G103" s="8"/>
      <c r="H103" s="8"/>
      <c r="I103" s="8"/>
      <c r="J103" s="8"/>
      <c r="K103" s="8"/>
      <c r="L103" s="8"/>
      <c r="M103" s="8"/>
      <c r="N103" s="8"/>
      <c r="O103" s="8"/>
      <c r="P103" s="8"/>
      <c r="Q103" s="8"/>
      <c r="R103" s="82"/>
      <c r="T103" s="1"/>
      <c r="U103" s="1"/>
      <c r="V103" s="1"/>
    </row>
    <row r="104" spans="2:20" ht="12.75">
      <c r="B104" s="83"/>
      <c r="C104" s="67"/>
      <c r="D104" s="84"/>
      <c r="E104" s="67"/>
      <c r="F104" s="67"/>
      <c r="G104" s="67"/>
      <c r="H104" s="67"/>
      <c r="I104" s="223" t="s">
        <v>89</v>
      </c>
      <c r="J104" s="223"/>
      <c r="K104" s="223"/>
      <c r="L104" s="223"/>
      <c r="M104" s="67"/>
      <c r="N104" s="67"/>
      <c r="O104" s="67"/>
      <c r="P104" s="67"/>
      <c r="Q104" s="67"/>
      <c r="R104" s="85"/>
      <c r="T104" s="21" t="s">
        <v>88</v>
      </c>
    </row>
    <row r="105" spans="2:25" s="3" customFormat="1" ht="12.75" customHeight="1">
      <c r="B105" s="86"/>
      <c r="C105" s="190" t="s">
        <v>42</v>
      </c>
      <c r="D105" s="190" t="s">
        <v>66</v>
      </c>
      <c r="E105" s="190" t="s">
        <v>40</v>
      </c>
      <c r="F105" s="190" t="s">
        <v>119</v>
      </c>
      <c r="G105" s="181" t="s">
        <v>43</v>
      </c>
      <c r="H105" s="182"/>
      <c r="I105" s="183" t="s">
        <v>39</v>
      </c>
      <c r="J105" s="184"/>
      <c r="K105" s="184"/>
      <c r="L105" s="185"/>
      <c r="M105" s="200" t="s">
        <v>125</v>
      </c>
      <c r="N105" s="201"/>
      <c r="O105" s="201"/>
      <c r="P105" s="201"/>
      <c r="Q105" s="201"/>
      <c r="R105" s="202"/>
      <c r="T105" s="160" t="s">
        <v>87</v>
      </c>
      <c r="U105" s="160" t="s">
        <v>87</v>
      </c>
      <c r="V105" s="160" t="s">
        <v>87</v>
      </c>
      <c r="W105" s="1"/>
      <c r="X105" s="214" t="s">
        <v>60</v>
      </c>
      <c r="Y105" s="230"/>
    </row>
    <row r="106" spans="2:25" s="3" customFormat="1" ht="12.75" customHeight="1">
      <c r="B106" s="86"/>
      <c r="C106" s="191"/>
      <c r="D106" s="191"/>
      <c r="E106" s="191"/>
      <c r="F106" s="191"/>
      <c r="G106" s="63" t="s">
        <v>52</v>
      </c>
      <c r="H106" s="65" t="s">
        <v>53</v>
      </c>
      <c r="I106" s="186" t="str">
        <f>"value, with "&amp;F108&amp;"% compatibility interval"</f>
        <v>value, with 90% compatibility interval</v>
      </c>
      <c r="J106" s="187"/>
      <c r="K106" s="186" t="str">
        <f>"value, with ×/÷"&amp;F108&amp;"% compatibility limits"</f>
        <v>value, with ×/÷90% compatibility limits</v>
      </c>
      <c r="L106" s="187"/>
      <c r="M106" s="203" t="str">
        <f>"beneficial or
substantially "&amp;G107</f>
        <v>beneficial or
substantially &gt;</v>
      </c>
      <c r="N106" s="204"/>
      <c r="O106" s="224" t="s">
        <v>18</v>
      </c>
      <c r="P106" s="225"/>
      <c r="Q106" s="193" t="str">
        <f>"harmful or 
substantially "&amp;H107</f>
        <v>harmful or 
substantially &lt;</v>
      </c>
      <c r="R106" s="194"/>
      <c r="S106" s="31"/>
      <c r="T106" s="217" t="s">
        <v>108</v>
      </c>
      <c r="U106" s="218"/>
      <c r="V106" s="219"/>
      <c r="W106" s="15" t="s">
        <v>24</v>
      </c>
      <c r="X106" s="231"/>
      <c r="Y106" s="232"/>
    </row>
    <row r="107" spans="2:25" s="3" customFormat="1" ht="12.75" customHeight="1">
      <c r="B107" s="86"/>
      <c r="C107" s="192"/>
      <c r="D107" s="192"/>
      <c r="E107" s="192"/>
      <c r="F107" s="192"/>
      <c r="G107" s="64" t="str">
        <f>IF(ISBLANK(G108),"???",IF(G108&lt;1,"&lt;","&gt;"))</f>
        <v>&gt;</v>
      </c>
      <c r="H107" s="66" t="str">
        <f>IF(TYPE(H108)=2,"???",IF(H108&lt;1,"&lt;","&gt;"))</f>
        <v>&lt;</v>
      </c>
      <c r="I107" s="188"/>
      <c r="J107" s="189"/>
      <c r="K107" s="188"/>
      <c r="L107" s="189"/>
      <c r="M107" s="205"/>
      <c r="N107" s="206"/>
      <c r="O107" s="226"/>
      <c r="P107" s="227"/>
      <c r="Q107" s="195"/>
      <c r="R107" s="196"/>
      <c r="S107" s="31"/>
      <c r="T107" s="49" t="s">
        <v>21</v>
      </c>
      <c r="U107" s="49" t="s">
        <v>22</v>
      </c>
      <c r="V107" s="15" t="s">
        <v>45</v>
      </c>
      <c r="W107" s="16" t="s">
        <v>44</v>
      </c>
      <c r="X107" s="42" t="s">
        <v>26</v>
      </c>
      <c r="Y107" s="43" t="s">
        <v>27</v>
      </c>
    </row>
    <row r="108" spans="2:25" s="3" customFormat="1" ht="12.75" customHeight="1">
      <c r="B108" s="86"/>
      <c r="C108" s="36">
        <v>0.5</v>
      </c>
      <c r="D108" s="17">
        <v>1.3</v>
      </c>
      <c r="E108" s="37">
        <v>18</v>
      </c>
      <c r="F108" s="39">
        <f>$H$31</f>
        <v>90</v>
      </c>
      <c r="G108" s="156">
        <v>1.2</v>
      </c>
      <c r="H108" s="157">
        <f>IF(ISBLANK(G108),"",1/G108)</f>
        <v>0.8333333333333334</v>
      </c>
      <c r="I108" s="210" t="str">
        <f>ROUND(D108,1-INT(IF(ISERROR(LOG10(ABS(D108))),0,LOG10(ABS(D108)))))&amp;", "&amp;ROUND(T108,1-INT(IF(ISERROR(LOG10(ABS(T108))),0,LOG10(ABS(T108)))))&amp;" to "&amp;ROUND(U108,1-INT(IF(ISERROR(LOG10(ABS(U108))),0,LOG10(ABS(U108)))))</f>
        <v>1.3, 0.67 to 2.5</v>
      </c>
      <c r="J108" s="211"/>
      <c r="K108" s="212" t="str">
        <f>ROUND(D108,1-INT(IF(ISERROR(LOG10(ABS(D108))),0,LOG10(ABS(D108)))))&amp;", ×/÷"&amp;ROUND(V108,1-INT(IF(ISERROR(LOG10(ABS(V108))),0,LOG10(ABS(V108)))))</f>
        <v>1.3, ×/÷1.9</v>
      </c>
      <c r="L108" s="213"/>
      <c r="M108" s="99">
        <f>100*IF(X108&gt;0,IF(W108-X108&gt;0,1-TDIST((W108-X108)/ABS(W108)*TINV(C108,E108),E108,1),TDIST((X108-W108)/ABS(W108)*TINV(C108,E108),E108,1)),IF(W108-X108&gt;0,TDIST((W108-X108)/ABS(W108)*TINV(C108,E108),E108,1),1-TDIST((X108-W108)/ABS(W108)*TINV(C108,E108),E108,1)))</f>
        <v>58.1989767468886</v>
      </c>
      <c r="N108" s="100" t="str">
        <f>"%"</f>
        <v>%</v>
      </c>
      <c r="O108" s="99">
        <f>100-M108-Q108</f>
        <v>28.87358259252284</v>
      </c>
      <c r="P108" s="100" t="str">
        <f>"%"</f>
        <v>%</v>
      </c>
      <c r="Q108" s="99">
        <f>100*IF(Y108&gt;0,IF(W108-Y108&gt;0,1-TDIST((W108-Y108)/ABS(W108)*TINV(C108,E108),E108,1),TDIST((Y108-W108)/ABS(W108)*TINV(C108,E108),E108,1)),IF(W108-Y108&gt;0,TDIST((W108-Y108)/ABS(W108)*TINV(C108,E108),E108,1),1-TDIST((Y108-W108)/ABS(W108)*TINV(C108,E108),E108,1)))</f>
        <v>12.927440660588562</v>
      </c>
      <c r="R108" s="174" t="str">
        <f>"%"</f>
        <v>%</v>
      </c>
      <c r="S108" s="31"/>
      <c r="T108" s="161">
        <f>EXP(LN(D108)-TINV((100-F108)/100,E108)*ABS(LN(D108))/TINV(C108,E108))</f>
        <v>0.6712860215172862</v>
      </c>
      <c r="U108" s="161">
        <f>EXP(LN(D108)+TINV((100-F108)/100,E108)*ABS(LN(D108))/TINV(C108,E108))</f>
        <v>2.5175557747800967</v>
      </c>
      <c r="V108" s="162">
        <f>SQRT(U108/T108)</f>
        <v>1.9365813652154589</v>
      </c>
      <c r="W108" s="41">
        <f>LN(D108)</f>
        <v>0.26236426446749106</v>
      </c>
      <c r="X108" s="41">
        <f>LN(G108)</f>
        <v>0.1823215567939546</v>
      </c>
      <c r="Y108" s="41">
        <f>LN(H108)</f>
        <v>-0.1823215567939546</v>
      </c>
    </row>
    <row r="109" spans="2:20" s="3" customFormat="1" ht="12.75" customHeight="1">
      <c r="B109" s="86"/>
      <c r="C109" s="220" t="str">
        <f>"Clinical decision: "&amp;IF(M108&lt;$I$51,IF(MAX(O108,Q108)=O108,O109&amp;" trivial; don't use",Q109&amp;" harmful; don't use"),IF(Q108&lt;$E$51,M109&amp;" beneficial; consider using","unclear; don't use; get more data"))&amp;".   Non-clinical decision: "&amp;IF(MIN(M108,Q108)&gt;$G$51,"unclear; get more data",IF(M108&gt;$I$51,M109&amp;" "&amp;G107,IF(Q108&gt;$I$51,Q109&amp;" "&amp;H107,O109&amp;" trivial")))&amp;"."</f>
        <v>Clinical decision: unclear; don't use; get more data.   Non-clinical decision: unclear; get more data.</v>
      </c>
      <c r="D109" s="221"/>
      <c r="E109" s="221"/>
      <c r="F109" s="221"/>
      <c r="G109" s="221"/>
      <c r="H109" s="221"/>
      <c r="I109" s="221"/>
      <c r="J109" s="221"/>
      <c r="K109" s="221"/>
      <c r="L109" s="222"/>
      <c r="M109" s="197" t="str">
        <f>IF(M108&lt;$E$51,$D$51,IF(M108&lt;$G$51,$F$51,IF(M108&lt;$I$51,$H$51,IF(M108&lt;$K$51,$J$51,IF(M108&lt;$M$51,$L$51,IF(M108&lt;$O$51,$N$51,$P$51))))))</f>
        <v>ambiguous</v>
      </c>
      <c r="N109" s="198"/>
      <c r="O109" s="197" t="str">
        <f>IF(O108&lt;$E$51,$D$51,IF(O108&lt;$G$51,$F$51,IF(O108&lt;$I$51,$H$51,IF(O108&lt;$K$51,$J$51,IF(O108&lt;$M$51,$L$51,IF(O108&lt;$O$51,$N$51,$P$51))))))</f>
        <v>ambiguous</v>
      </c>
      <c r="P109" s="198"/>
      <c r="Q109" s="197" t="str">
        <f>IF(Q108&lt;$E$51,$D$51,IF(Q108&lt;$G$51,$F$51,IF(Q108&lt;$I$51,$H$51,IF(Q108&lt;$K$51,$J$51,IF(Q108&lt;$M$51,$L$51,IF(Q108&lt;$O$51,$N$51,$P$51))))))</f>
        <v>weakly reject</v>
      </c>
      <c r="R109" s="199"/>
      <c r="S109" s="31"/>
      <c r="T109" s="31"/>
    </row>
    <row r="110" spans="2:18" ht="12.75">
      <c r="B110" s="83"/>
      <c r="C110" s="67"/>
      <c r="D110" s="84"/>
      <c r="E110" s="67"/>
      <c r="F110" s="67"/>
      <c r="G110" s="67"/>
      <c r="H110" s="173">
        <f>IF(ISNUMBER(G108),IF(OR(G108&lt;=0,H108&lt;=0,G108=1,H108=1),"ERROR: thresholds must be positive and &gt;1 or &lt;1",IF(OR(AND(G108&gt;1,H108&gt;1),AND(G108&lt;1,H108&lt;1)),"ERROR: thresholds must span 1.00.","")),"")</f>
      </c>
      <c r="I110" s="67"/>
      <c r="J110" s="67"/>
      <c r="K110" s="67"/>
      <c r="L110" s="67"/>
      <c r="M110" s="67"/>
      <c r="N110" s="67"/>
      <c r="O110" s="67"/>
      <c r="P110" s="67"/>
      <c r="Q110" s="67"/>
      <c r="R110" s="85"/>
    </row>
    <row r="111" spans="2:25" s="3" customFormat="1" ht="12.75" customHeight="1">
      <c r="B111" s="86"/>
      <c r="C111" s="190" t="s">
        <v>42</v>
      </c>
      <c r="D111" s="190" t="s">
        <v>66</v>
      </c>
      <c r="E111" s="190" t="s">
        <v>40</v>
      </c>
      <c r="F111" s="190" t="s">
        <v>119</v>
      </c>
      <c r="G111" s="181" t="s">
        <v>43</v>
      </c>
      <c r="H111" s="182"/>
      <c r="I111" s="183" t="s">
        <v>39</v>
      </c>
      <c r="J111" s="184"/>
      <c r="K111" s="184"/>
      <c r="L111" s="185"/>
      <c r="M111" s="200" t="s">
        <v>125</v>
      </c>
      <c r="N111" s="201"/>
      <c r="O111" s="201"/>
      <c r="P111" s="201"/>
      <c r="Q111" s="201"/>
      <c r="R111" s="202"/>
      <c r="W111" s="1"/>
      <c r="X111" s="214" t="s">
        <v>60</v>
      </c>
      <c r="Y111" s="230"/>
    </row>
    <row r="112" spans="2:25" s="3" customFormat="1" ht="12.75" customHeight="1">
      <c r="B112" s="86"/>
      <c r="C112" s="191"/>
      <c r="D112" s="191"/>
      <c r="E112" s="191"/>
      <c r="F112" s="191"/>
      <c r="G112" s="63" t="s">
        <v>52</v>
      </c>
      <c r="H112" s="65" t="s">
        <v>53</v>
      </c>
      <c r="I112" s="186" t="str">
        <f>"value, with "&amp;F114&amp;"% compatibility interval"</f>
        <v>value, with 90% compatibility interval</v>
      </c>
      <c r="J112" s="187"/>
      <c r="K112" s="186" t="str">
        <f>"value, with ×/÷"&amp;F114&amp;"% compatibility limits"</f>
        <v>value, with ×/÷90% compatibility limits</v>
      </c>
      <c r="L112" s="187"/>
      <c r="M112" s="203" t="str">
        <f>"beneficial or
substantially "&amp;G113</f>
        <v>beneficial or
substantially ???</v>
      </c>
      <c r="N112" s="204"/>
      <c r="O112" s="224" t="s">
        <v>18</v>
      </c>
      <c r="P112" s="225"/>
      <c r="Q112" s="193" t="str">
        <f>"harmful or 
substantially "&amp;H113</f>
        <v>harmful or 
substantially ???</v>
      </c>
      <c r="R112" s="194"/>
      <c r="S112" s="31"/>
      <c r="T112" s="217" t="s">
        <v>108</v>
      </c>
      <c r="U112" s="218"/>
      <c r="V112" s="219"/>
      <c r="W112" s="15" t="s">
        <v>24</v>
      </c>
      <c r="X112" s="231"/>
      <c r="Y112" s="232"/>
    </row>
    <row r="113" spans="2:25" s="3" customFormat="1" ht="12.75" customHeight="1">
      <c r="B113" s="86"/>
      <c r="C113" s="192"/>
      <c r="D113" s="192"/>
      <c r="E113" s="192"/>
      <c r="F113" s="192"/>
      <c r="G113" s="64" t="str">
        <f>IF(ISBLANK(G114),"???",IF(G114&lt;1,"&lt;","&gt;"))</f>
        <v>???</v>
      </c>
      <c r="H113" s="66" t="str">
        <f>IF(TYPE(H114)=2,"???",IF(H114&lt;1,"&lt;","&gt;"))</f>
        <v>???</v>
      </c>
      <c r="I113" s="188"/>
      <c r="J113" s="189"/>
      <c r="K113" s="188"/>
      <c r="L113" s="189"/>
      <c r="M113" s="205"/>
      <c r="N113" s="206"/>
      <c r="O113" s="226"/>
      <c r="P113" s="227"/>
      <c r="Q113" s="195"/>
      <c r="R113" s="196"/>
      <c r="S113" s="31"/>
      <c r="T113" s="49" t="s">
        <v>21</v>
      </c>
      <c r="U113" s="49" t="s">
        <v>22</v>
      </c>
      <c r="V113" s="15" t="s">
        <v>45</v>
      </c>
      <c r="W113" s="16" t="s">
        <v>44</v>
      </c>
      <c r="X113" s="42" t="s">
        <v>26</v>
      </c>
      <c r="Y113" s="43" t="s">
        <v>27</v>
      </c>
    </row>
    <row r="114" spans="2:25" s="3" customFormat="1" ht="12.75" customHeight="1">
      <c r="B114" s="86"/>
      <c r="C114" s="36"/>
      <c r="D114" s="17"/>
      <c r="E114" s="37"/>
      <c r="F114" s="39">
        <f>$H$31</f>
        <v>90</v>
      </c>
      <c r="G114" s="156"/>
      <c r="H114" s="157">
        <f>IF(ISBLANK(G114),"",1/G114)</f>
      </c>
      <c r="I114" s="210" t="e">
        <f>ROUND(D114,1-INT(IF(ISERROR(LOG10(ABS(D114))),0,LOG10(ABS(D114)))))&amp;", "&amp;ROUND(T114,1-INT(IF(ISERROR(LOG10(ABS(T114))),0,LOG10(ABS(T114)))))&amp;" to "&amp;ROUND(U114,1-INT(IF(ISERROR(LOG10(ABS(U114))),0,LOG10(ABS(U114)))))</f>
        <v>#NUM!</v>
      </c>
      <c r="J114" s="211"/>
      <c r="K114" s="212" t="e">
        <f>ROUND(D114,1-INT(IF(ISERROR(LOG10(ABS(D114))),0,LOG10(ABS(D114)))))&amp;", ×/÷"&amp;ROUND(V114,1-INT(IF(ISERROR(LOG10(ABS(V114))),0,LOG10(ABS(V114)))))</f>
        <v>#NUM!</v>
      </c>
      <c r="L114" s="213"/>
      <c r="M114" s="99" t="e">
        <f>100*IF(X114&gt;0,IF(W114-X114&gt;0,1-TDIST((W114-X114)/ABS(W114)*TINV(C114,E114),E114,1),TDIST((X114-W114)/ABS(W114)*TINV(C114,E114),E114,1)),IF(W114-X114&gt;0,TDIST((W114-X114)/ABS(W114)*TINV(C114,E114),E114,1),1-TDIST((X114-W114)/ABS(W114)*TINV(C114,E114),E114,1)))</f>
        <v>#NUM!</v>
      </c>
      <c r="N114" s="100" t="str">
        <f>"%"</f>
        <v>%</v>
      </c>
      <c r="O114" s="99" t="e">
        <f>100-M114-Q114</f>
        <v>#NUM!</v>
      </c>
      <c r="P114" s="100" t="str">
        <f>"%"</f>
        <v>%</v>
      </c>
      <c r="Q114" s="99" t="e">
        <f>100*IF(Y114&gt;0,IF(W114-Y114&gt;0,1-TDIST((W114-Y114)/ABS(W114)*TINV(C114,E114),E114,1),TDIST((Y114-W114)/ABS(W114)*TINV(C114,E114),E114,1)),IF(W114-Y114&gt;0,TDIST((W114-Y114)/ABS(W114)*TINV(C114,E114),E114,1),1-TDIST((Y114-W114)/ABS(W114)*TINV(C114,E114),E114,1)))</f>
        <v>#VALUE!</v>
      </c>
      <c r="R114" s="174" t="str">
        <f>"%"</f>
        <v>%</v>
      </c>
      <c r="S114" s="31"/>
      <c r="T114" s="161" t="e">
        <f>EXP(LN(D114)-TINV((100-F114)/100,E114)*ABS(LN(D114))/TINV(C114,E114))</f>
        <v>#NUM!</v>
      </c>
      <c r="U114" s="161" t="e">
        <f>EXP(LN(D114)+TINV((100-F114)/100,E114)*ABS(LN(D114))/TINV(C114,E114))</f>
        <v>#NUM!</v>
      </c>
      <c r="V114" s="162" t="e">
        <f>SQRT(U114/T114)</f>
        <v>#NUM!</v>
      </c>
      <c r="W114" s="163" t="e">
        <f>LN(D114)</f>
        <v>#NUM!</v>
      </c>
      <c r="X114" s="41" t="e">
        <f>LN(G114)</f>
        <v>#NUM!</v>
      </c>
      <c r="Y114" s="41" t="e">
        <f>LN(H114)</f>
        <v>#VALUE!</v>
      </c>
    </row>
    <row r="115" spans="2:20" s="3" customFormat="1" ht="12.75" customHeight="1">
      <c r="B115" s="86"/>
      <c r="C115" s="220" t="e">
        <f>"Clinical decision: "&amp;IF(M114&lt;$I$51,IF(MAX(O114,Q114)=O114,O115&amp;" trivial; don't use",Q115&amp;" harmful; don't use"),IF(Q114&lt;$E$51,M115&amp;" beneficial; consider using","unclear; don't use; get more data"))&amp;".   Non-clinical decision: "&amp;IF(MIN(M114,Q114)&gt;$G$51,"unclear; get more data",IF(M114&gt;$I$51,M115&amp;" "&amp;G113,IF(Q114&gt;$I$51,Q115&amp;" "&amp;H113,O115&amp;" trivial")))&amp;"."</f>
        <v>#NUM!</v>
      </c>
      <c r="D115" s="221"/>
      <c r="E115" s="221"/>
      <c r="F115" s="221"/>
      <c r="G115" s="221"/>
      <c r="H115" s="221"/>
      <c r="I115" s="221"/>
      <c r="J115" s="221"/>
      <c r="K115" s="221"/>
      <c r="L115" s="222"/>
      <c r="M115" s="197" t="e">
        <f>IF(M114&lt;$E$51,$D$51,IF(M114&lt;$G$51,$F$51,IF(M114&lt;$I$51,$H$51,IF(M114&lt;$K$51,$J$51,IF(M114&lt;$M$51,$L$51,IF(M114&lt;$O$51,$N$51,$P$51))))))</f>
        <v>#NUM!</v>
      </c>
      <c r="N115" s="198"/>
      <c r="O115" s="197" t="e">
        <f>IF(O114&lt;$E$51,$D$51,IF(O114&lt;$G$51,$F$51,IF(O114&lt;$I$51,$H$51,IF(O114&lt;$K$51,$J$51,IF(O114&lt;$M$51,$L$51,IF(O114&lt;$O$51,$N$51,$P$51))))))</f>
        <v>#NUM!</v>
      </c>
      <c r="P115" s="198"/>
      <c r="Q115" s="197" t="e">
        <f>IF(Q114&lt;$E$51,$D$51,IF(Q114&lt;$G$51,$F$51,IF(Q114&lt;$I$51,$H$51,IF(Q114&lt;$K$51,$J$51,IF(Q114&lt;$M$51,$L$51,IF(Q114&lt;$O$51,$N$51,$P$51))))))</f>
        <v>#VALUE!</v>
      </c>
      <c r="R115" s="199"/>
      <c r="S115" s="31"/>
      <c r="T115" s="31"/>
    </row>
    <row r="116" spans="2:18" s="2" customFormat="1" ht="13.5" thickBot="1">
      <c r="B116" s="88"/>
      <c r="C116" s="89"/>
      <c r="D116" s="90"/>
      <c r="E116" s="91"/>
      <c r="F116" s="92"/>
      <c r="G116" s="89"/>
      <c r="H116" s="172">
        <f>IF(ISNUMBER(G114),IF(OR(G114&lt;=0,H114&lt;=0,G114=1,H114=1),"ERROR: thresholds must be positive and &gt;1 or &lt;1",IF(OR(AND(G114&gt;1,H114&gt;1),AND(G114&lt;1,H114&lt;1)),"ERROR: thresholds must span 1.00.","")),"")</f>
      </c>
      <c r="I116" s="89"/>
      <c r="J116" s="89"/>
      <c r="K116" s="89"/>
      <c r="L116" s="89"/>
      <c r="M116" s="93"/>
      <c r="N116" s="89"/>
      <c r="O116" s="89"/>
      <c r="P116" s="94"/>
      <c r="Q116" s="89"/>
      <c r="R116" s="95"/>
    </row>
    <row r="117" spans="3:17" ht="13.5" thickBot="1">
      <c r="C117" s="35"/>
      <c r="F117" s="12"/>
      <c r="M117" s="13"/>
      <c r="N117" s="2"/>
      <c r="P117" s="14"/>
      <c r="Q117" s="1"/>
    </row>
    <row r="118" spans="2:18" s="4" customFormat="1" ht="15">
      <c r="B118" s="134" t="s">
        <v>75</v>
      </c>
      <c r="C118" s="135"/>
      <c r="D118" s="135"/>
      <c r="E118" s="135"/>
      <c r="F118" s="135"/>
      <c r="G118" s="135"/>
      <c r="H118" s="135"/>
      <c r="I118" s="135"/>
      <c r="J118" s="135"/>
      <c r="K118" s="135"/>
      <c r="L118" s="135"/>
      <c r="M118" s="135"/>
      <c r="N118" s="135"/>
      <c r="O118" s="135"/>
      <c r="P118" s="135"/>
      <c r="Q118" s="135"/>
      <c r="R118" s="136"/>
    </row>
    <row r="119" spans="2:18" s="4" customFormat="1" ht="14.25">
      <c r="B119" s="78" t="s">
        <v>147</v>
      </c>
      <c r="R119" s="75"/>
    </row>
    <row r="120" spans="2:18" s="4" customFormat="1" ht="14.25">
      <c r="B120" s="74"/>
      <c r="C120" s="2" t="s">
        <v>6</v>
      </c>
      <c r="R120" s="75"/>
    </row>
    <row r="121" spans="2:18" ht="12.75">
      <c r="B121" s="78"/>
      <c r="C121" s="2" t="s">
        <v>62</v>
      </c>
      <c r="D121" s="2"/>
      <c r="E121" s="2"/>
      <c r="F121" s="2"/>
      <c r="G121" s="2"/>
      <c r="H121" s="2"/>
      <c r="I121" s="2"/>
      <c r="J121" s="2"/>
      <c r="K121" s="2"/>
      <c r="L121" s="2"/>
      <c r="M121" s="2"/>
      <c r="N121" s="2"/>
      <c r="O121" s="2"/>
      <c r="P121" s="2"/>
      <c r="R121" s="79"/>
    </row>
    <row r="122" spans="2:18" ht="12.75">
      <c r="B122" s="78"/>
      <c r="C122" s="2"/>
      <c r="D122" s="2"/>
      <c r="E122" s="2"/>
      <c r="F122" s="2"/>
      <c r="G122" s="2"/>
      <c r="H122" s="2"/>
      <c r="I122" s="2"/>
      <c r="J122" s="2"/>
      <c r="K122" s="2"/>
      <c r="L122" s="2"/>
      <c r="M122" s="2"/>
      <c r="N122" s="2"/>
      <c r="O122" s="2"/>
      <c r="P122" s="2"/>
      <c r="R122" s="79"/>
    </row>
    <row r="123" spans="2:20" ht="12.75">
      <c r="B123" s="83"/>
      <c r="C123" s="67"/>
      <c r="D123" s="67"/>
      <c r="E123" s="67"/>
      <c r="F123" s="67"/>
      <c r="G123" s="67"/>
      <c r="H123" s="67"/>
      <c r="I123" s="223" t="s">
        <v>89</v>
      </c>
      <c r="J123" s="223"/>
      <c r="K123" s="223"/>
      <c r="L123" s="223"/>
      <c r="M123" s="67"/>
      <c r="N123" s="67"/>
      <c r="O123" s="67"/>
      <c r="P123" s="67"/>
      <c r="Q123" s="67"/>
      <c r="R123" s="85"/>
      <c r="T123" s="21" t="s">
        <v>88</v>
      </c>
    </row>
    <row r="124" spans="2:25" ht="12.75" customHeight="1">
      <c r="B124" s="83"/>
      <c r="C124" s="153"/>
      <c r="D124" s="214" t="s">
        <v>42</v>
      </c>
      <c r="E124" s="190" t="s">
        <v>41</v>
      </c>
      <c r="F124" s="207" t="s">
        <v>119</v>
      </c>
      <c r="G124" s="181" t="s">
        <v>50</v>
      </c>
      <c r="H124" s="182"/>
      <c r="I124" s="183" t="s">
        <v>39</v>
      </c>
      <c r="J124" s="184"/>
      <c r="K124" s="184"/>
      <c r="L124" s="185"/>
      <c r="M124" s="200" t="s">
        <v>125</v>
      </c>
      <c r="N124" s="201"/>
      <c r="O124" s="201"/>
      <c r="P124" s="201"/>
      <c r="Q124" s="201"/>
      <c r="R124" s="202"/>
      <c r="S124" s="2"/>
      <c r="T124" s="160" t="s">
        <v>87</v>
      </c>
      <c r="U124" s="160" t="s">
        <v>87</v>
      </c>
      <c r="V124" s="160" t="s">
        <v>87</v>
      </c>
      <c r="X124" s="214" t="s">
        <v>60</v>
      </c>
      <c r="Y124" s="230"/>
    </row>
    <row r="125" spans="2:25" ht="12.75" customHeight="1">
      <c r="B125" s="83"/>
      <c r="C125" s="154"/>
      <c r="D125" s="215"/>
      <c r="E125" s="191"/>
      <c r="F125" s="208"/>
      <c r="G125" s="63" t="s">
        <v>52</v>
      </c>
      <c r="H125" s="65" t="s">
        <v>53</v>
      </c>
      <c r="I125" s="186" t="str">
        <f>"value, with "&amp;F127&amp;"% compatibility interval"</f>
        <v>value, with 90% compatibility interval</v>
      </c>
      <c r="J125" s="187"/>
      <c r="K125" s="186" t="str">
        <f>"value, with ×/÷"&amp;F127&amp;"% compatibility limits"</f>
        <v>value, with ×/÷90% compatibility limits</v>
      </c>
      <c r="L125" s="187"/>
      <c r="M125" s="203" t="str">
        <f>"beneficial or
substantially "&amp;G126</f>
        <v>beneficial or
substantially &lt;</v>
      </c>
      <c r="N125" s="204"/>
      <c r="O125" s="224" t="s">
        <v>18</v>
      </c>
      <c r="P125" s="225"/>
      <c r="Q125" s="193" t="str">
        <f>"harmful or 
substantially "&amp;H126</f>
        <v>harmful or 
substantially &gt;</v>
      </c>
      <c r="R125" s="194"/>
      <c r="S125" s="2"/>
      <c r="T125" s="217" t="s">
        <v>108</v>
      </c>
      <c r="U125" s="218"/>
      <c r="V125" s="219"/>
      <c r="W125" s="15" t="s">
        <v>24</v>
      </c>
      <c r="X125" s="231"/>
      <c r="Y125" s="232"/>
    </row>
    <row r="126" spans="2:25" ht="12.75" customHeight="1">
      <c r="B126" s="83"/>
      <c r="C126" s="154"/>
      <c r="D126" s="216"/>
      <c r="E126" s="192"/>
      <c r="F126" s="209"/>
      <c r="G126" s="64" t="str">
        <f>IF(ISBLANK(G127),"???",IF(G127&lt;1,"&lt;","&gt;"))</f>
        <v>&lt;</v>
      </c>
      <c r="H126" s="66" t="str">
        <f>IF(TYPE(H127)=2,"???",IF(H127&lt;1,"&lt;","&gt;"))</f>
        <v>&gt;</v>
      </c>
      <c r="I126" s="188"/>
      <c r="J126" s="189"/>
      <c r="K126" s="188"/>
      <c r="L126" s="189"/>
      <c r="M126" s="205"/>
      <c r="N126" s="206"/>
      <c r="O126" s="226"/>
      <c r="P126" s="227"/>
      <c r="Q126" s="195"/>
      <c r="R126" s="196"/>
      <c r="S126" s="2"/>
      <c r="T126" s="50" t="s">
        <v>21</v>
      </c>
      <c r="U126" s="51" t="s">
        <v>22</v>
      </c>
      <c r="V126" s="15" t="s">
        <v>45</v>
      </c>
      <c r="W126" s="16" t="s">
        <v>44</v>
      </c>
      <c r="X126" s="42" t="s">
        <v>26</v>
      </c>
      <c r="Y126" s="43" t="s">
        <v>27</v>
      </c>
    </row>
    <row r="127" spans="2:25" ht="12.75" customHeight="1">
      <c r="B127" s="83"/>
      <c r="C127" s="155"/>
      <c r="D127" s="36">
        <v>0.2</v>
      </c>
      <c r="E127" s="11">
        <v>1.6</v>
      </c>
      <c r="F127" s="39">
        <f>$H$31</f>
        <v>90</v>
      </c>
      <c r="G127" s="156">
        <v>0.9</v>
      </c>
      <c r="H127" s="157">
        <f>IF(ISBLANK(G127),"",1/G127)</f>
        <v>1.1111111111111112</v>
      </c>
      <c r="I127" s="210" t="str">
        <f>ROUND(E127,2)&amp;", "&amp;ROUND(T127,2)&amp;" to "&amp;ROUND(U127,2)</f>
        <v>1.6, 0.88 to 2.92</v>
      </c>
      <c r="J127" s="211"/>
      <c r="K127" s="212" t="str">
        <f>ROUND(E127,2)&amp;", ×/÷"&amp;ROUND(V127,2)</f>
        <v>1.6, ×/÷1.83</v>
      </c>
      <c r="L127" s="213"/>
      <c r="M127" s="99">
        <f>100*IF(G127&gt;1,1-NORMSDIST((X127-W127)/ABS(W127/NORMSINV(D127/2))),NORMSDIST((X127-W127)/ABS(W127/NORMSINV(D127/2))))</f>
        <v>5.834302750892598</v>
      </c>
      <c r="N127" s="100" t="str">
        <f>"%"</f>
        <v>%</v>
      </c>
      <c r="O127" s="99">
        <f>100-M127-Q127</f>
        <v>10.170349628733547</v>
      </c>
      <c r="P127" s="100" t="str">
        <f>"%"</f>
        <v>%</v>
      </c>
      <c r="Q127" s="99">
        <f>100*IF(H127&lt;1,NORMSDIST((Y127-W127)/ABS(W127/NORMSINV(D127/2))),1-NORMSDIST((Y127-W127)/ABS(W127/NORMSINV(D127/2))))</f>
        <v>83.99534762037385</v>
      </c>
      <c r="R127" s="174" t="str">
        <f>"%"</f>
        <v>%</v>
      </c>
      <c r="S127" s="2"/>
      <c r="T127" s="164">
        <f>EXP(W127+NORMSINV((100-F127)/100/2)*ABS(W127/NORMSINV(D127/2)))</f>
        <v>0.8752554449946128</v>
      </c>
      <c r="U127" s="165">
        <f>EXP(W127-NORMSINV((100-F127)/100/2)*ABS(W127/NORMSINV(D127/2)))</f>
        <v>2.924860410340843</v>
      </c>
      <c r="V127" s="166">
        <f>SQRT(U127/T127)</f>
        <v>1.8280377564630266</v>
      </c>
      <c r="W127" s="41">
        <f>LN(E127)</f>
        <v>0.47000362924573563</v>
      </c>
      <c r="X127" s="41">
        <f>LN(G127)</f>
        <v>-0.10536051565782628</v>
      </c>
      <c r="Y127" s="41">
        <f>LN(H127)</f>
        <v>0.10536051565782635</v>
      </c>
    </row>
    <row r="128" spans="2:25" ht="12.75" customHeight="1">
      <c r="B128" s="83"/>
      <c r="C128" s="220" t="str">
        <f>"Clinical decision: "&amp;IF(M127&lt;$I$51,IF(MAX(O127,Q127)=O127,O128&amp;" trivial; don't use",Q128&amp;" harmful; don't use"),IF(Q127&lt;$E$51,M128&amp;" beneficial; consider using","unclear; don't use; get more data"))&amp;".   Non-clinical decision: "&amp;IF(MIN(M127,Q127)&gt;$G$51,"unclear; get more data",IF(M127&gt;$I$51,M128&amp;" "&amp;G126,IF(Q127&gt;$I$51,Q128&amp;" "&amp;H126,O128&amp;" trivial")))&amp;"."</f>
        <v>Clinical decision: weakly compatible harmful; don't use.   Non-clinical decision: unclear; get more data.</v>
      </c>
      <c r="D128" s="221"/>
      <c r="E128" s="221"/>
      <c r="F128" s="221"/>
      <c r="G128" s="221"/>
      <c r="H128" s="221"/>
      <c r="I128" s="221"/>
      <c r="J128" s="221"/>
      <c r="K128" s="221"/>
      <c r="L128" s="222"/>
      <c r="M128" s="197" t="str">
        <f>IF(M127&lt;$E$51,$D$51,IF(M127&lt;$G$51,$F$51,IF(M127&lt;$I$51,$H$51,IF(M127&lt;$K$51,$J$51,IF(M127&lt;$M$51,$L$51,IF(M127&lt;$O$51,$N$51,$P$51))))))</f>
        <v>weakly reject</v>
      </c>
      <c r="N128" s="198"/>
      <c r="O128" s="197" t="str">
        <f>IF(O127&lt;$E$51,$D$51,IF(O127&lt;$G$51,$F$51,IF(O127&lt;$I$51,$H$51,IF(O127&lt;$K$51,$J$51,IF(O127&lt;$M$51,$L$51,IF(O127&lt;$O$51,$N$51,$P$51))))))</f>
        <v>weakly reject</v>
      </c>
      <c r="P128" s="198"/>
      <c r="Q128" s="197" t="str">
        <f>IF(Q127&lt;$E$51,$D$51,IF(Q127&lt;$G$51,$F$51,IF(Q127&lt;$I$51,$H$51,IF(Q127&lt;$K$51,$J$51,IF(Q127&lt;$M$51,$L$51,IF(Q127&lt;$O$51,$N$51,$P$51))))))</f>
        <v>weakly compatible</v>
      </c>
      <c r="R128" s="199"/>
      <c r="S128" s="2"/>
      <c r="T128" s="2"/>
      <c r="U128" s="2"/>
      <c r="V128" s="2"/>
      <c r="W128" s="2"/>
      <c r="X128" s="2"/>
      <c r="Y128" s="2"/>
    </row>
    <row r="129" spans="2:18" s="2" customFormat="1" ht="12.75">
      <c r="B129" s="83"/>
      <c r="C129" s="67"/>
      <c r="D129" s="67"/>
      <c r="E129" s="109"/>
      <c r="F129" s="67"/>
      <c r="G129" s="67"/>
      <c r="H129" s="173">
        <f>IF(ISNUMBER(G127),IF(OR(G127&lt;=0,H127&lt;=0,G127=1,H127=1),"ERROR: thresholds must be positive and &gt;1 or &lt;1",IF(OR(AND(G127&gt;1,H127&gt;1),AND(G127&lt;1,H127&lt;1)),"ERROR: thresholds must span 1.00.","")),"")</f>
      </c>
      <c r="I129" s="67"/>
      <c r="J129" s="67"/>
      <c r="K129" s="67"/>
      <c r="L129" s="67"/>
      <c r="M129" s="67"/>
      <c r="N129" s="67"/>
      <c r="O129" s="67"/>
      <c r="P129" s="67"/>
      <c r="Q129" s="67"/>
      <c r="R129" s="85"/>
    </row>
    <row r="130" spans="2:25" ht="12.75" customHeight="1">
      <c r="B130" s="83"/>
      <c r="C130" s="153"/>
      <c r="D130" s="214" t="s">
        <v>42</v>
      </c>
      <c r="E130" s="190" t="s">
        <v>41</v>
      </c>
      <c r="F130" s="207" t="s">
        <v>119</v>
      </c>
      <c r="G130" s="181" t="s">
        <v>50</v>
      </c>
      <c r="H130" s="182"/>
      <c r="I130" s="183" t="s">
        <v>39</v>
      </c>
      <c r="J130" s="184"/>
      <c r="K130" s="184"/>
      <c r="L130" s="185"/>
      <c r="M130" s="200" t="s">
        <v>125</v>
      </c>
      <c r="N130" s="201"/>
      <c r="O130" s="201"/>
      <c r="P130" s="201"/>
      <c r="Q130" s="201"/>
      <c r="R130" s="202"/>
      <c r="S130" s="2"/>
      <c r="X130" s="214" t="s">
        <v>60</v>
      </c>
      <c r="Y130" s="230"/>
    </row>
    <row r="131" spans="2:25" ht="12.75" customHeight="1">
      <c r="B131" s="83"/>
      <c r="C131" s="154"/>
      <c r="D131" s="215"/>
      <c r="E131" s="191"/>
      <c r="F131" s="208"/>
      <c r="G131" s="63" t="s">
        <v>52</v>
      </c>
      <c r="H131" s="65" t="s">
        <v>53</v>
      </c>
      <c r="I131" s="186" t="str">
        <f>"value, with "&amp;F133&amp;"% compatibility interval"</f>
        <v>value, with 90% compatibility interval</v>
      </c>
      <c r="J131" s="187"/>
      <c r="K131" s="186" t="str">
        <f>"value, with ×/÷"&amp;F133&amp;"% compatibility limits"</f>
        <v>value, with ×/÷90% compatibility limits</v>
      </c>
      <c r="L131" s="187"/>
      <c r="M131" s="203" t="str">
        <f>"beneficial or
substantially "&amp;G132</f>
        <v>beneficial or
substantially &gt;</v>
      </c>
      <c r="N131" s="204"/>
      <c r="O131" s="224" t="s">
        <v>18</v>
      </c>
      <c r="P131" s="225"/>
      <c r="Q131" s="193" t="str">
        <f>"harmful or 
substantially "&amp;H132</f>
        <v>harmful or 
substantially &lt;</v>
      </c>
      <c r="R131" s="194"/>
      <c r="S131" s="2"/>
      <c r="T131" s="217" t="s">
        <v>108</v>
      </c>
      <c r="U131" s="218"/>
      <c r="V131" s="219"/>
      <c r="W131" s="15" t="s">
        <v>24</v>
      </c>
      <c r="X131" s="231"/>
      <c r="Y131" s="232"/>
    </row>
    <row r="132" spans="2:25" ht="12.75" customHeight="1">
      <c r="B132" s="83"/>
      <c r="C132" s="154"/>
      <c r="D132" s="216"/>
      <c r="E132" s="192"/>
      <c r="F132" s="209"/>
      <c r="G132" s="64" t="str">
        <f>IF(ISBLANK(G133),"???",IF(G133&lt;1,"&lt;","&gt;"))</f>
        <v>&gt;</v>
      </c>
      <c r="H132" s="66" t="str">
        <f>IF(TYPE(H133)=2,"???",IF(H133&lt;1,"&lt;","&gt;"))</f>
        <v>&lt;</v>
      </c>
      <c r="I132" s="188"/>
      <c r="J132" s="189"/>
      <c r="K132" s="188"/>
      <c r="L132" s="189"/>
      <c r="M132" s="205"/>
      <c r="N132" s="206"/>
      <c r="O132" s="226"/>
      <c r="P132" s="227"/>
      <c r="Q132" s="195"/>
      <c r="R132" s="196"/>
      <c r="S132" s="2"/>
      <c r="T132" s="50" t="s">
        <v>21</v>
      </c>
      <c r="U132" s="51" t="s">
        <v>22</v>
      </c>
      <c r="V132" s="15" t="s">
        <v>45</v>
      </c>
      <c r="W132" s="16" t="s">
        <v>44</v>
      </c>
      <c r="X132" s="42" t="s">
        <v>26</v>
      </c>
      <c r="Y132" s="43" t="s">
        <v>27</v>
      </c>
    </row>
    <row r="133" spans="2:25" ht="12.75" customHeight="1">
      <c r="B133" s="83"/>
      <c r="C133" s="155"/>
      <c r="D133" s="36"/>
      <c r="E133" s="11"/>
      <c r="F133" s="39">
        <f>$H$31</f>
        <v>90</v>
      </c>
      <c r="G133" s="156">
        <v>1.1</v>
      </c>
      <c r="H133" s="157">
        <f>IF(ISBLANK(G133),"",1/G133)</f>
        <v>0.9090909090909091</v>
      </c>
      <c r="I133" s="210" t="e">
        <f>ROUND(E133,2)&amp;", "&amp;ROUND(T133,2)&amp;" to "&amp;ROUND(U133,2)</f>
        <v>#NUM!</v>
      </c>
      <c r="J133" s="211"/>
      <c r="K133" s="212" t="e">
        <f>ROUND(E133,2)&amp;", ×/÷"&amp;ROUND(V133,2)</f>
        <v>#NUM!</v>
      </c>
      <c r="L133" s="213"/>
      <c r="M133" s="99" t="e">
        <f>100*IF(G133&gt;1,1-NORMSDIST((X133-W133)/ABS(W133/NORMSINV(D133/2))),NORMSDIST((X133-W133)/ABS(W133/NORMSINV(D133/2))))</f>
        <v>#NUM!</v>
      </c>
      <c r="N133" s="100" t="str">
        <f>"%"</f>
        <v>%</v>
      </c>
      <c r="O133" s="99" t="e">
        <f>100-M133-Q133</f>
        <v>#NUM!</v>
      </c>
      <c r="P133" s="100" t="str">
        <f>"%"</f>
        <v>%</v>
      </c>
      <c r="Q133" s="99" t="e">
        <f>100*IF(H133&lt;1,NORMSDIST((Y133-W133)/ABS(W133/NORMSINV(D133/2))),1-NORMSDIST((Y133-W133)/ABS(W133/NORMSINV(D133/2))))</f>
        <v>#NUM!</v>
      </c>
      <c r="R133" s="174" t="str">
        <f>"%"</f>
        <v>%</v>
      </c>
      <c r="S133" s="2"/>
      <c r="T133" s="164" t="e">
        <f>EXP(W133+NORMSINV((100-F133)/100/2)*ABS(W133/NORMSINV(D133/2)))</f>
        <v>#NUM!</v>
      </c>
      <c r="U133" s="165" t="e">
        <f>EXP(W133-NORMSINV((100-F133)/100/2)*ABS(W133/NORMSINV(D133/2)))</f>
        <v>#NUM!</v>
      </c>
      <c r="V133" s="166" t="e">
        <f>SQRT(U133/T133)</f>
        <v>#NUM!</v>
      </c>
      <c r="W133" s="41" t="e">
        <f>LN(E133)</f>
        <v>#NUM!</v>
      </c>
      <c r="X133" s="41">
        <f>LN(G133)</f>
        <v>0.09531017980432493</v>
      </c>
      <c r="Y133" s="41">
        <f>LN(H133)</f>
        <v>-0.0953101798043249</v>
      </c>
    </row>
    <row r="134" spans="2:25" ht="12.75" customHeight="1">
      <c r="B134" s="83"/>
      <c r="C134" s="220" t="e">
        <f>"Clinical decision: "&amp;IF(M133&lt;$I$51,IF(MAX(O133,Q133)=O133,O134&amp;" trivial; don't use",Q134&amp;" harmful; don't use"),IF(Q133&lt;$E$51,M134&amp;" beneficial; consider using","unclear; don't use; get more data"))&amp;".   Non-clinical decision: "&amp;IF(MIN(M133,Q133)&gt;$G$51,"unclear; get more data",IF(M133&gt;$I$51,M134&amp;" "&amp;G132,IF(Q133&gt;$I$51,Q134&amp;" "&amp;H132,O134&amp;" trivial")))&amp;"."</f>
        <v>#NUM!</v>
      </c>
      <c r="D134" s="221"/>
      <c r="E134" s="221"/>
      <c r="F134" s="221"/>
      <c r="G134" s="221"/>
      <c r="H134" s="221"/>
      <c r="I134" s="221"/>
      <c r="J134" s="221"/>
      <c r="K134" s="221"/>
      <c r="L134" s="222"/>
      <c r="M134" s="197" t="e">
        <f>IF(M133&lt;$E$51,$D$51,IF(M133&lt;$G$51,$F$51,IF(M133&lt;$I$51,$H$51,IF(M133&lt;$K$51,$J$51,IF(M133&lt;$M$51,$L$51,IF(M133&lt;$O$51,$N$51,$P$51))))))</f>
        <v>#NUM!</v>
      </c>
      <c r="N134" s="198"/>
      <c r="O134" s="197" t="e">
        <f>IF(O133&lt;$E$51,$D$51,IF(O133&lt;$G$51,$F$51,IF(O133&lt;$I$51,$H$51,IF(O133&lt;$K$51,$J$51,IF(O133&lt;$M$51,$L$51,IF(O133&lt;$O$51,$N$51,$P$51))))))</f>
        <v>#NUM!</v>
      </c>
      <c r="P134" s="198"/>
      <c r="Q134" s="197" t="e">
        <f>IF(Q133&lt;$E$51,$D$51,IF(Q133&lt;$G$51,$F$51,IF(Q133&lt;$I$51,$H$51,IF(Q133&lt;$K$51,$J$51,IF(Q133&lt;$M$51,$L$51,IF(Q133&lt;$O$51,$N$51,$P$51))))))</f>
        <v>#NUM!</v>
      </c>
      <c r="R134" s="199"/>
      <c r="S134" s="2"/>
      <c r="T134" s="2"/>
      <c r="U134" s="2"/>
      <c r="V134" s="2"/>
      <c r="W134" s="2"/>
      <c r="X134" s="2"/>
      <c r="Y134" s="2"/>
    </row>
    <row r="135" spans="2:18" s="2" customFormat="1" ht="13.5" thickBot="1">
      <c r="B135" s="88"/>
      <c r="C135" s="89"/>
      <c r="D135" s="89"/>
      <c r="E135" s="108"/>
      <c r="F135" s="89"/>
      <c r="G135" s="89"/>
      <c r="H135" s="172">
        <f>IF(ISNUMBER(G133),IF(OR(G133&lt;=0,H133&lt;=0,G133=1,H133=1),"ERROR: thresholds must be positive and &gt;1 or &lt;1",IF(OR(AND(G133&gt;1,H133&gt;1),AND(G133&lt;1,H133&lt;1)),"ERROR: thresholds must span 1.00.","")),"")</f>
      </c>
      <c r="I135" s="89"/>
      <c r="J135" s="89"/>
      <c r="K135" s="89"/>
      <c r="L135" s="89"/>
      <c r="M135" s="89"/>
      <c r="N135" s="89"/>
      <c r="O135" s="89"/>
      <c r="P135" s="89"/>
      <c r="Q135" s="89"/>
      <c r="R135" s="95"/>
    </row>
    <row r="136" ht="13.5" thickBot="1">
      <c r="E136" s="12"/>
    </row>
    <row r="137" spans="2:18" s="4" customFormat="1" ht="14.25" customHeight="1">
      <c r="B137" s="134" t="s">
        <v>70</v>
      </c>
      <c r="C137" s="135"/>
      <c r="D137" s="135"/>
      <c r="E137" s="135"/>
      <c r="F137" s="135"/>
      <c r="G137" s="135"/>
      <c r="H137" s="135"/>
      <c r="I137" s="135"/>
      <c r="J137" s="135"/>
      <c r="K137" s="135"/>
      <c r="L137" s="135"/>
      <c r="M137" s="135"/>
      <c r="N137" s="135"/>
      <c r="O137" s="135"/>
      <c r="P137" s="135"/>
      <c r="Q137" s="135"/>
      <c r="R137" s="136"/>
    </row>
    <row r="138" spans="2:18" s="4" customFormat="1" ht="14.25" customHeight="1">
      <c r="B138" s="78" t="s">
        <v>55</v>
      </c>
      <c r="R138" s="75"/>
    </row>
    <row r="139" spans="2:22" s="18" customFormat="1" ht="12.75">
      <c r="B139" s="110" t="s">
        <v>7</v>
      </c>
      <c r="R139" s="111"/>
      <c r="T139" s="47"/>
      <c r="U139" s="47"/>
      <c r="V139" s="47"/>
    </row>
    <row r="140" spans="2:22" s="18" customFormat="1" ht="12.75">
      <c r="B140" s="110"/>
      <c r="C140" s="18" t="s">
        <v>2</v>
      </c>
      <c r="R140" s="111"/>
      <c r="T140" s="47"/>
      <c r="U140" s="47"/>
      <c r="V140" s="47"/>
    </row>
    <row r="141" spans="2:18" ht="12.75">
      <c r="B141" s="112"/>
      <c r="C141" s="2" t="s">
        <v>28</v>
      </c>
      <c r="D141" s="2"/>
      <c r="E141" s="2"/>
      <c r="F141" s="2"/>
      <c r="G141" s="2"/>
      <c r="H141" s="2"/>
      <c r="I141" s="2"/>
      <c r="J141" s="2"/>
      <c r="K141" s="2"/>
      <c r="L141" s="2"/>
      <c r="M141" s="2"/>
      <c r="N141" s="2"/>
      <c r="O141" s="2"/>
      <c r="P141" s="2"/>
      <c r="R141" s="79"/>
    </row>
    <row r="142" spans="2:18" ht="12.75">
      <c r="B142" s="78" t="s">
        <v>102</v>
      </c>
      <c r="C142" s="2"/>
      <c r="D142" s="2"/>
      <c r="E142" s="2"/>
      <c r="F142" s="2"/>
      <c r="G142" s="2"/>
      <c r="H142" s="2"/>
      <c r="I142" s="2"/>
      <c r="J142" s="2"/>
      <c r="K142" s="2"/>
      <c r="L142" s="2"/>
      <c r="M142" s="2"/>
      <c r="N142" s="2"/>
      <c r="O142" s="2"/>
      <c r="P142" s="2"/>
      <c r="R142" s="79"/>
    </row>
    <row r="143" spans="2:18" ht="12.75">
      <c r="B143" s="78"/>
      <c r="C143" s="2" t="s">
        <v>85</v>
      </c>
      <c r="D143" s="2"/>
      <c r="E143" s="2"/>
      <c r="F143" s="2"/>
      <c r="G143" s="2"/>
      <c r="H143" s="2"/>
      <c r="I143" s="2"/>
      <c r="J143" s="2"/>
      <c r="K143" s="2"/>
      <c r="L143" s="2"/>
      <c r="M143" s="2"/>
      <c r="N143" s="2"/>
      <c r="O143" s="2"/>
      <c r="P143" s="2"/>
      <c r="R143" s="79"/>
    </row>
    <row r="144" spans="2:18" ht="12.75">
      <c r="B144" s="78" t="s">
        <v>29</v>
      </c>
      <c r="C144" s="2"/>
      <c r="D144" s="2"/>
      <c r="E144" s="2"/>
      <c r="F144" s="2"/>
      <c r="G144" s="2"/>
      <c r="H144" s="2"/>
      <c r="I144" s="2"/>
      <c r="J144" s="2"/>
      <c r="K144" s="2"/>
      <c r="L144" s="2"/>
      <c r="M144" s="2"/>
      <c r="N144" s="2"/>
      <c r="O144" s="2"/>
      <c r="P144" s="2"/>
      <c r="R144" s="79"/>
    </row>
    <row r="145" spans="2:18" ht="12.75">
      <c r="B145" s="78" t="s">
        <v>103</v>
      </c>
      <c r="C145" s="2"/>
      <c r="D145" s="2"/>
      <c r="E145" s="2"/>
      <c r="F145" s="2"/>
      <c r="G145" s="2"/>
      <c r="H145" s="2"/>
      <c r="I145" s="2"/>
      <c r="J145" s="2"/>
      <c r="K145" s="2"/>
      <c r="L145" s="2"/>
      <c r="M145" s="2"/>
      <c r="N145" s="2"/>
      <c r="O145" s="2"/>
      <c r="P145" s="2"/>
      <c r="R145" s="79"/>
    </row>
    <row r="146" spans="2:18" ht="12.75">
      <c r="B146" s="78"/>
      <c r="C146" s="2"/>
      <c r="D146" s="2"/>
      <c r="E146" s="2"/>
      <c r="F146" s="2"/>
      <c r="G146" s="2"/>
      <c r="H146" s="2"/>
      <c r="I146" s="2"/>
      <c r="J146" s="2"/>
      <c r="K146" s="2"/>
      <c r="L146" s="2"/>
      <c r="M146" s="2"/>
      <c r="N146" s="2"/>
      <c r="O146" s="2"/>
      <c r="P146" s="2"/>
      <c r="R146" s="79"/>
    </row>
    <row r="147" spans="2:20" ht="12.75">
      <c r="B147" s="83"/>
      <c r="C147" s="67"/>
      <c r="D147" s="67"/>
      <c r="E147" s="67"/>
      <c r="F147" s="67"/>
      <c r="G147" s="67"/>
      <c r="H147" s="67"/>
      <c r="I147" s="223" t="s">
        <v>89</v>
      </c>
      <c r="J147" s="223"/>
      <c r="K147" s="223"/>
      <c r="L147" s="223"/>
      <c r="M147" s="67"/>
      <c r="N147" s="67"/>
      <c r="O147" s="67"/>
      <c r="P147" s="67"/>
      <c r="Q147" s="67"/>
      <c r="R147" s="85"/>
      <c r="T147" s="21" t="s">
        <v>88</v>
      </c>
    </row>
    <row r="148" spans="2:32" ht="12.75" customHeight="1">
      <c r="B148" s="83"/>
      <c r="C148" s="190"/>
      <c r="D148" s="214" t="s">
        <v>46</v>
      </c>
      <c r="E148" s="190" t="s">
        <v>58</v>
      </c>
      <c r="F148" s="190" t="s">
        <v>119</v>
      </c>
      <c r="G148" s="181" t="s">
        <v>43</v>
      </c>
      <c r="H148" s="182"/>
      <c r="I148" s="183" t="s">
        <v>39</v>
      </c>
      <c r="J148" s="184"/>
      <c r="K148" s="184"/>
      <c r="L148" s="185"/>
      <c r="M148" s="200" t="s">
        <v>125</v>
      </c>
      <c r="N148" s="201"/>
      <c r="O148" s="201"/>
      <c r="P148" s="201"/>
      <c r="Q148" s="201"/>
      <c r="R148" s="202"/>
      <c r="T148" s="160" t="s">
        <v>87</v>
      </c>
      <c r="U148" s="160" t="s">
        <v>87</v>
      </c>
      <c r="V148" s="160" t="s">
        <v>87</v>
      </c>
      <c r="W148" s="2"/>
      <c r="AF148" s="2"/>
    </row>
    <row r="149" spans="2:28" ht="12.75" customHeight="1">
      <c r="B149" s="83"/>
      <c r="C149" s="191"/>
      <c r="D149" s="215"/>
      <c r="E149" s="191"/>
      <c r="F149" s="191"/>
      <c r="G149" s="63" t="s">
        <v>52</v>
      </c>
      <c r="H149" s="65" t="s">
        <v>53</v>
      </c>
      <c r="I149" s="186" t="str">
        <f>"value, with "&amp;F151&amp;"% compatibility interval"</f>
        <v>value, with 90% compatibility interval</v>
      </c>
      <c r="J149" s="187"/>
      <c r="K149" s="186" t="str">
        <f>"or value, with ±"&amp;F151&amp;"% compatibility limits"</f>
        <v>or value, with ±90% compatibility limits</v>
      </c>
      <c r="L149" s="187"/>
      <c r="M149" s="203" t="str">
        <f>"beneficial or
substantially "&amp;G150</f>
        <v>beneficial or
substantially +ive</v>
      </c>
      <c r="N149" s="204"/>
      <c r="O149" s="224" t="s">
        <v>18</v>
      </c>
      <c r="P149" s="225"/>
      <c r="Q149" s="193" t="str">
        <f>"harmful or 
substantially "&amp;H150</f>
        <v>harmful or 
substantially -ive</v>
      </c>
      <c r="R149" s="194"/>
      <c r="T149" s="217" t="s">
        <v>108</v>
      </c>
      <c r="U149" s="218"/>
      <c r="V149" s="219"/>
      <c r="W149" s="58" t="s">
        <v>48</v>
      </c>
      <c r="X149" s="44"/>
      <c r="Y149" s="19"/>
      <c r="Z149" s="19"/>
      <c r="AA149" s="20" t="s">
        <v>30</v>
      </c>
      <c r="AB149" s="20" t="s">
        <v>31</v>
      </c>
    </row>
    <row r="150" spans="2:28" s="21" customFormat="1" ht="12.75" customHeight="1">
      <c r="B150" s="113"/>
      <c r="C150" s="191"/>
      <c r="D150" s="216"/>
      <c r="E150" s="192"/>
      <c r="F150" s="192"/>
      <c r="G150" s="64" t="str">
        <f>IF(ISBLANK(G151),"???",IF(G151&lt;0,"-ive","+ive"))</f>
        <v>+ive</v>
      </c>
      <c r="H150" s="66" t="str">
        <f>IF(TYPE(H151)=2,"???",IF(H151&lt;0,"-ive","+ive"))</f>
        <v>-ive</v>
      </c>
      <c r="I150" s="188"/>
      <c r="J150" s="189"/>
      <c r="K150" s="188"/>
      <c r="L150" s="189"/>
      <c r="M150" s="205"/>
      <c r="N150" s="206"/>
      <c r="O150" s="226"/>
      <c r="P150" s="227"/>
      <c r="Q150" s="195"/>
      <c r="R150" s="196"/>
      <c r="T150" s="52" t="s">
        <v>21</v>
      </c>
      <c r="U150" s="53" t="s">
        <v>22</v>
      </c>
      <c r="V150" s="45" t="s">
        <v>23</v>
      </c>
      <c r="W150" s="22" t="s">
        <v>49</v>
      </c>
      <c r="X150" s="45" t="s">
        <v>32</v>
      </c>
      <c r="Y150" s="23" t="s">
        <v>33</v>
      </c>
      <c r="Z150" s="23" t="s">
        <v>47</v>
      </c>
      <c r="AA150" s="23" t="s">
        <v>34</v>
      </c>
      <c r="AB150" s="23" t="s">
        <v>34</v>
      </c>
    </row>
    <row r="151" spans="2:28" ht="12.75" customHeight="1">
      <c r="B151" s="83"/>
      <c r="C151" s="192"/>
      <c r="D151" s="24">
        <v>15</v>
      </c>
      <c r="E151" s="25">
        <v>0.61</v>
      </c>
      <c r="F151" s="39">
        <f>$H$31</f>
        <v>90</v>
      </c>
      <c r="G151" s="40">
        <v>0.1</v>
      </c>
      <c r="H151" s="39">
        <f>IF(ISBLANK(G151)," ",-G151)</f>
        <v>-0.1</v>
      </c>
      <c r="I151" s="210" t="str">
        <f>ROUND(E151,2)&amp;", "&amp;ROUND(T151,2)&amp;" to "&amp;ROUND(U151,2)</f>
        <v>0.61, 0.23 to 0.83</v>
      </c>
      <c r="J151" s="211"/>
      <c r="K151" s="212" t="str">
        <f>ROUND(E151,2)&amp;", ±"&amp;ROUND(V151,2)</f>
        <v>0.61, ±0.3</v>
      </c>
      <c r="L151" s="213"/>
      <c r="M151" s="99">
        <f>100*IF(G151&gt;0,1-NORMDIST(AA151,W151,Z151,TRUE),NORMDIST(AA151,W151,Z151,TRUE))</f>
        <v>98.24933170282245</v>
      </c>
      <c r="N151" s="100" t="str">
        <f>"%"</f>
        <v>%</v>
      </c>
      <c r="O151" s="99">
        <f>100-M151-Q151</f>
        <v>1.4977925511343542</v>
      </c>
      <c r="P151" s="100" t="str">
        <f>"%"</f>
        <v>%</v>
      </c>
      <c r="Q151" s="99">
        <f>100*IF(H151&lt;0,NORMDIST(AB151,W151,Z151,TRUE),1-NORMDIST(AB151,W151,Z151,TRUE))</f>
        <v>0.25287574604320057</v>
      </c>
      <c r="R151" s="174" t="str">
        <f>"%"</f>
        <v>%</v>
      </c>
      <c r="T151" s="167">
        <f>(EXP(2*X151)-1)/(EXP(2*X151)+1)</f>
        <v>0.229908650670447</v>
      </c>
      <c r="U151" s="168">
        <f>(EXP(2*Y151)-1)/(EXP(2*Y151)+1)</f>
        <v>0.8286303185796969</v>
      </c>
      <c r="V151" s="166">
        <f>(U151-T151)/2</f>
        <v>0.299360833954625</v>
      </c>
      <c r="W151" s="26">
        <f>0.5*LN((1+E151)/(1-E151))</f>
        <v>0.7089213594274082</v>
      </c>
      <c r="X151" s="27">
        <f>W151+NORMSINV((100-F151)/100/2)/SQRT(D151-3)</f>
        <v>0.23409301727842569</v>
      </c>
      <c r="Y151" s="28">
        <f>W151-NORMSINV((100-F151)/100/2)/SQRT(D151-3)</f>
        <v>1.1837497015763907</v>
      </c>
      <c r="Z151" s="28">
        <f>1/SQRT(D151-3)</f>
        <v>0.2886751345948129</v>
      </c>
      <c r="AA151" s="28">
        <f>0.5*LN((1+G151)/(1-G151))</f>
        <v>0.10033534773107562</v>
      </c>
      <c r="AB151" s="28">
        <f>0.5*LN((1+H151)/(1-H151))</f>
        <v>-0.10033534773107562</v>
      </c>
    </row>
    <row r="152" spans="2:23" ht="12.75" customHeight="1">
      <c r="B152" s="83"/>
      <c r="C152" s="220" t="str">
        <f>"Clinical decision: "&amp;IF(M151&lt;$I$51,IF(MAX(O151,Q151)=O151,O152&amp;" trivial; don't use",Q152&amp;" harmful; don't use"),IF(Q151&lt;$E$51,M152&amp;" beneficial; consider using","unclear; don't use; get more data"))&amp;".   Non-clinical decision: "&amp;IF(MIN(M151,Q151)&gt;$G$51,"unclear; get more data",IF(M151&gt;$I$51,M152&amp;" "&amp;G150,IF(Q151&gt;$I$51,Q152&amp;" "&amp;H150,O152&amp;" trivial")))&amp;"."</f>
        <v>Clinical decision: moderately compatible beneficial; consider using.   Non-clinical decision: moderately compatible +ive.</v>
      </c>
      <c r="D152" s="221"/>
      <c r="E152" s="221"/>
      <c r="F152" s="221"/>
      <c r="G152" s="221"/>
      <c r="H152" s="221"/>
      <c r="I152" s="221"/>
      <c r="J152" s="221"/>
      <c r="K152" s="221"/>
      <c r="L152" s="222"/>
      <c r="M152" s="197" t="str">
        <f>IF(M151&lt;$E$51,$D$51,IF(M151&lt;$G$51,$F$51,IF(M151&lt;$I$51,$H$51,IF(M151&lt;$K$51,$J$51,IF(M151&lt;$M$51,$L$51,IF(M151&lt;$O$51,$N$51,$P$51))))))</f>
        <v>moderately compatible</v>
      </c>
      <c r="N152" s="198"/>
      <c r="O152" s="197" t="str">
        <f>IF(O151&lt;$E$51,$D$51,IF(O151&lt;$G$51,$F$51,IF(O151&lt;$I$51,$H$51,IF(O151&lt;$K$51,$J$51,IF(O151&lt;$M$51,$L$51,IF(O151&lt;$O$51,$N$51,$P$51))))))</f>
        <v>moderately reject</v>
      </c>
      <c r="P152" s="198"/>
      <c r="Q152" s="197" t="str">
        <f>IF(Q151&lt;$E$51,$D$51,IF(Q151&lt;$G$51,$F$51,IF(Q151&lt;$I$51,$H$51,IF(Q151&lt;$K$51,$J$51,IF(Q151&lt;$M$51,$L$51,IF(Q151&lt;$O$51,$N$51,$P$51))))))</f>
        <v>strongly reject</v>
      </c>
      <c r="R152" s="199"/>
      <c r="W152" s="143"/>
    </row>
    <row r="153" spans="2:23" ht="12.75">
      <c r="B153" s="83"/>
      <c r="C153" s="67"/>
      <c r="D153" s="67"/>
      <c r="E153" s="67"/>
      <c r="F153" s="67"/>
      <c r="G153" s="67"/>
      <c r="H153" s="173">
        <f>IF(ISNUMBER(G151),IF(OR(SIGN(G151)=SIGN(H151),G151=0,H151=0),"ERROR: thresholds must be non-zero and opposite in sign.",""),"")</f>
      </c>
      <c r="I153" s="67"/>
      <c r="J153" s="67"/>
      <c r="K153" s="67"/>
      <c r="L153" s="67"/>
      <c r="M153" s="67"/>
      <c r="N153" s="67"/>
      <c r="O153" s="67"/>
      <c r="P153" s="67"/>
      <c r="Q153" s="67"/>
      <c r="R153" s="85"/>
      <c r="W153" s="143"/>
    </row>
    <row r="154" spans="2:32" ht="12.75" customHeight="1">
      <c r="B154" s="83"/>
      <c r="C154" s="190"/>
      <c r="D154" s="214" t="s">
        <v>46</v>
      </c>
      <c r="E154" s="190" t="s">
        <v>58</v>
      </c>
      <c r="F154" s="190" t="s">
        <v>119</v>
      </c>
      <c r="G154" s="181" t="s">
        <v>43</v>
      </c>
      <c r="H154" s="182"/>
      <c r="I154" s="183" t="s">
        <v>39</v>
      </c>
      <c r="J154" s="184"/>
      <c r="K154" s="184"/>
      <c r="L154" s="185"/>
      <c r="M154" s="200" t="s">
        <v>125</v>
      </c>
      <c r="N154" s="201"/>
      <c r="O154" s="201"/>
      <c r="P154" s="201"/>
      <c r="Q154" s="201"/>
      <c r="R154" s="202"/>
      <c r="V154" s="2"/>
      <c r="W154" s="144"/>
      <c r="AF154" s="2"/>
    </row>
    <row r="155" spans="2:28" ht="12.75" customHeight="1">
      <c r="B155" s="83"/>
      <c r="C155" s="191"/>
      <c r="D155" s="215"/>
      <c r="E155" s="191"/>
      <c r="F155" s="191"/>
      <c r="G155" s="63" t="s">
        <v>52</v>
      </c>
      <c r="H155" s="65" t="s">
        <v>53</v>
      </c>
      <c r="I155" s="186" t="str">
        <f>"value, with "&amp;F157&amp;"% compatibility interval"</f>
        <v>value, with 90% compatibility interval</v>
      </c>
      <c r="J155" s="187"/>
      <c r="K155" s="186" t="str">
        <f>"or value, with ±"&amp;F157&amp;"% compatibility limits"</f>
        <v>or value, with ±90% compatibility limits</v>
      </c>
      <c r="L155" s="187"/>
      <c r="M155" s="203" t="str">
        <f>"beneficial or
substantially "&amp;G156</f>
        <v>beneficial or
substantially ???</v>
      </c>
      <c r="N155" s="204"/>
      <c r="O155" s="224" t="s">
        <v>18</v>
      </c>
      <c r="P155" s="225"/>
      <c r="Q155" s="193" t="str">
        <f>"harmful or 
substantially "&amp;H156</f>
        <v>harmful or 
substantially ???</v>
      </c>
      <c r="R155" s="194"/>
      <c r="T155" s="217" t="s">
        <v>108</v>
      </c>
      <c r="U155" s="218"/>
      <c r="V155" s="219"/>
      <c r="W155" s="58" t="s">
        <v>48</v>
      </c>
      <c r="X155" s="44"/>
      <c r="Y155" s="19"/>
      <c r="Z155" s="19"/>
      <c r="AA155" s="20" t="s">
        <v>30</v>
      </c>
      <c r="AB155" s="20" t="s">
        <v>31</v>
      </c>
    </row>
    <row r="156" spans="2:28" s="21" customFormat="1" ht="12.75" customHeight="1">
      <c r="B156" s="113"/>
      <c r="C156" s="191"/>
      <c r="D156" s="216"/>
      <c r="E156" s="192"/>
      <c r="F156" s="192"/>
      <c r="G156" s="64" t="str">
        <f>IF(ISBLANK(G157),"???",IF(G157&lt;0,"-ive","+ive"))</f>
        <v>???</v>
      </c>
      <c r="H156" s="66" t="str">
        <f>IF(TYPE(H157)=2,"???",IF(H157&lt;0,"-ive","+ive"))</f>
        <v>???</v>
      </c>
      <c r="I156" s="188"/>
      <c r="J156" s="189"/>
      <c r="K156" s="188"/>
      <c r="L156" s="189"/>
      <c r="M156" s="205"/>
      <c r="N156" s="206"/>
      <c r="O156" s="226"/>
      <c r="P156" s="227"/>
      <c r="Q156" s="195"/>
      <c r="R156" s="196"/>
      <c r="T156" s="52" t="s">
        <v>21</v>
      </c>
      <c r="U156" s="53" t="s">
        <v>22</v>
      </c>
      <c r="V156" s="45" t="s">
        <v>23</v>
      </c>
      <c r="W156" s="22" t="s">
        <v>49</v>
      </c>
      <c r="X156" s="45" t="s">
        <v>32</v>
      </c>
      <c r="Y156" s="23" t="s">
        <v>33</v>
      </c>
      <c r="Z156" s="23" t="s">
        <v>47</v>
      </c>
      <c r="AA156" s="23" t="s">
        <v>34</v>
      </c>
      <c r="AB156" s="23" t="s">
        <v>34</v>
      </c>
    </row>
    <row r="157" spans="2:28" ht="12.75" customHeight="1">
      <c r="B157" s="83"/>
      <c r="C157" s="192"/>
      <c r="D157" s="24"/>
      <c r="E157" s="25"/>
      <c r="F157" s="39">
        <f>$H$31</f>
        <v>90</v>
      </c>
      <c r="G157" s="40"/>
      <c r="H157" s="39" t="str">
        <f>IF(ISBLANK(G157)," ",-G157)</f>
        <v> </v>
      </c>
      <c r="I157" s="210" t="e">
        <f>ROUND(E157,2)&amp;", "&amp;ROUND(T157,2)&amp;" to "&amp;ROUND(U157,2)</f>
        <v>#NUM!</v>
      </c>
      <c r="J157" s="211"/>
      <c r="K157" s="212" t="e">
        <f>ROUND(E157,2)&amp;", ±"&amp;ROUND(V157,2)</f>
        <v>#NUM!</v>
      </c>
      <c r="L157" s="213"/>
      <c r="M157" s="99" t="e">
        <f>100*IF(G157&gt;0,1-NORMDIST(AA157,W157,Z157,TRUE),NORMDIST(AA157,W157,Z157,TRUE))</f>
        <v>#NUM!</v>
      </c>
      <c r="N157" s="100" t="str">
        <f>"%"</f>
        <v>%</v>
      </c>
      <c r="O157" s="99" t="e">
        <f>100-M157-Q157</f>
        <v>#NUM!</v>
      </c>
      <c r="P157" s="100" t="str">
        <f>"%"</f>
        <v>%</v>
      </c>
      <c r="Q157" s="99" t="e">
        <f>100*IF(H157&lt;0,NORMDIST(AB157,W157,Z157,TRUE),1-NORMDIST(AB157,W157,Z157,TRUE))</f>
        <v>#VALUE!</v>
      </c>
      <c r="R157" s="174" t="str">
        <f>"%"</f>
        <v>%</v>
      </c>
      <c r="T157" s="167" t="e">
        <f>(EXP(2*X157)-1)/(EXP(2*X157)+1)</f>
        <v>#NUM!</v>
      </c>
      <c r="U157" s="168" t="e">
        <f>(EXP(2*Y157)-1)/(EXP(2*Y157)+1)</f>
        <v>#NUM!</v>
      </c>
      <c r="V157" s="166" t="e">
        <f>(U157-T157)/2</f>
        <v>#NUM!</v>
      </c>
      <c r="W157" s="26">
        <f>0.5*LN((1+E157)/(1-E157))</f>
        <v>0</v>
      </c>
      <c r="X157" s="27" t="e">
        <f>W157+NORMSINV((100-F157)/100/2)/SQRT(D157-3)</f>
        <v>#NUM!</v>
      </c>
      <c r="Y157" s="28" t="e">
        <f>W157-NORMSINV((100-F157)/100/2)/SQRT(D157-3)</f>
        <v>#NUM!</v>
      </c>
      <c r="Z157" s="28" t="e">
        <f>1/SQRT(D157-3)</f>
        <v>#NUM!</v>
      </c>
      <c r="AA157" s="28">
        <f>0.5*LN((1+G157)/(1-G157))</f>
        <v>0</v>
      </c>
      <c r="AB157" s="28" t="e">
        <f>0.5*LN((1+H157)/(1-H157))</f>
        <v>#VALUE!</v>
      </c>
    </row>
    <row r="158" spans="2:18" ht="12.75" customHeight="1">
      <c r="B158" s="83"/>
      <c r="C158" s="220" t="e">
        <f>"Clinical decision: "&amp;IF(M157&lt;$I$51,IF(MAX(O157,Q157)=O157,O158&amp;" trivial; don't use",Q158&amp;" harmful; don't use"),IF(Q157&lt;$E$51,M158&amp;" beneficial; consider using","unclear; don't use; get more data"))&amp;".   Non-clinical decision: "&amp;IF(MIN(M157,Q157)&gt;$G$51,"unclear; get more data",IF(M157&gt;$I$51,M158&amp;" "&amp;G156,IF(Q157&gt;$I$51,Q158&amp;" "&amp;H156,O158&amp;" trivial")))&amp;"."</f>
        <v>#NUM!</v>
      </c>
      <c r="D158" s="221"/>
      <c r="E158" s="221"/>
      <c r="F158" s="221"/>
      <c r="G158" s="221"/>
      <c r="H158" s="221"/>
      <c r="I158" s="221"/>
      <c r="J158" s="221"/>
      <c r="K158" s="221"/>
      <c r="L158" s="222"/>
      <c r="M158" s="197" t="e">
        <f>IF(M157&lt;$E$51,$D$51,IF(M157&lt;$G$51,$F$51,IF(M157&lt;$I$51,$H$51,IF(M157&lt;$K$51,$J$51,IF(M157&lt;$M$51,$L$51,IF(M157&lt;$O$51,$N$51,$P$51))))))</f>
        <v>#NUM!</v>
      </c>
      <c r="N158" s="198"/>
      <c r="O158" s="197" t="e">
        <f>IF(O157&lt;$E$51,$D$51,IF(O157&lt;$G$51,$F$51,IF(O157&lt;$I$51,$H$51,IF(O157&lt;$K$51,$J$51,IF(O157&lt;$M$51,$L$51,IF(O157&lt;$O$51,$N$51,$P$51))))))</f>
        <v>#NUM!</v>
      </c>
      <c r="P158" s="198"/>
      <c r="Q158" s="197" t="e">
        <f>IF(Q157&lt;$E$51,$D$51,IF(Q157&lt;$G$51,$F$51,IF(Q157&lt;$I$51,$H$51,IF(Q157&lt;$K$51,$J$51,IF(Q157&lt;$M$51,$L$51,IF(Q157&lt;$O$51,$N$51,$P$51))))))</f>
        <v>#VALUE!</v>
      </c>
      <c r="R158" s="199"/>
    </row>
    <row r="159" spans="2:18" ht="13.5" thickBot="1">
      <c r="B159" s="88"/>
      <c r="C159" s="89"/>
      <c r="D159" s="89"/>
      <c r="E159" s="89"/>
      <c r="F159" s="89"/>
      <c r="G159" s="89"/>
      <c r="H159" s="172">
        <f>IF(ISNUMBER(G157),IF(OR(SIGN(G157)=SIGN(H157),G157=0,H157=0),"ERROR: thresholds must be non-zero and opposite in sign.",""),"")</f>
      </c>
      <c r="I159" s="89"/>
      <c r="J159" s="89"/>
      <c r="K159" s="89"/>
      <c r="L159" s="89"/>
      <c r="M159" s="89"/>
      <c r="N159" s="89"/>
      <c r="O159" s="89"/>
      <c r="P159" s="89"/>
      <c r="Q159" s="89"/>
      <c r="R159" s="95"/>
    </row>
    <row r="160" ht="13.5" thickBot="1">
      <c r="Q160" s="1"/>
    </row>
    <row r="161" spans="2:18" s="4" customFormat="1" ht="15">
      <c r="B161" s="134" t="s">
        <v>71</v>
      </c>
      <c r="C161" s="135"/>
      <c r="D161" s="135"/>
      <c r="E161" s="135"/>
      <c r="F161" s="135"/>
      <c r="G161" s="135"/>
      <c r="H161" s="135"/>
      <c r="I161" s="135"/>
      <c r="J161" s="135"/>
      <c r="K161" s="135"/>
      <c r="L161" s="135"/>
      <c r="M161" s="135"/>
      <c r="N161" s="135"/>
      <c r="O161" s="135"/>
      <c r="P161" s="135"/>
      <c r="Q161" s="135"/>
      <c r="R161" s="136"/>
    </row>
    <row r="162" spans="2:18" ht="12.75">
      <c r="B162" s="78" t="s">
        <v>104</v>
      </c>
      <c r="C162" s="2"/>
      <c r="D162" s="2"/>
      <c r="E162" s="2"/>
      <c r="F162" s="2"/>
      <c r="G162" s="2"/>
      <c r="H162" s="2"/>
      <c r="I162" s="2"/>
      <c r="J162" s="2"/>
      <c r="K162" s="2"/>
      <c r="L162" s="2"/>
      <c r="M162" s="2"/>
      <c r="N162" s="2"/>
      <c r="O162" s="2"/>
      <c r="P162" s="2"/>
      <c r="R162" s="79"/>
    </row>
    <row r="163" spans="2:18" ht="12.75">
      <c r="B163" s="78" t="s">
        <v>105</v>
      </c>
      <c r="C163" s="2"/>
      <c r="D163" s="2"/>
      <c r="E163" s="2"/>
      <c r="F163" s="2"/>
      <c r="G163" s="2"/>
      <c r="H163" s="2"/>
      <c r="I163" s="2"/>
      <c r="J163" s="2"/>
      <c r="K163" s="2"/>
      <c r="L163" s="2"/>
      <c r="M163" s="2"/>
      <c r="N163" s="2"/>
      <c r="O163" s="2"/>
      <c r="P163" s="2"/>
      <c r="R163" s="79"/>
    </row>
    <row r="164" spans="2:18" ht="12.75">
      <c r="B164" s="78"/>
      <c r="C164" s="2" t="s">
        <v>3</v>
      </c>
      <c r="D164" s="2"/>
      <c r="E164" s="2"/>
      <c r="F164" s="2"/>
      <c r="G164" s="2"/>
      <c r="H164" s="2"/>
      <c r="I164" s="2"/>
      <c r="J164" s="2"/>
      <c r="K164" s="2"/>
      <c r="L164" s="2"/>
      <c r="M164" s="2"/>
      <c r="N164" s="2"/>
      <c r="O164" s="2"/>
      <c r="P164" s="2"/>
      <c r="R164" s="79"/>
    </row>
    <row r="165" spans="2:18" ht="12.75">
      <c r="B165" s="78" t="s">
        <v>90</v>
      </c>
      <c r="C165" s="2"/>
      <c r="D165" s="2"/>
      <c r="E165" s="2"/>
      <c r="F165" s="2"/>
      <c r="G165" s="2"/>
      <c r="H165" s="2"/>
      <c r="I165" s="2"/>
      <c r="J165" s="2"/>
      <c r="K165" s="2"/>
      <c r="L165" s="2"/>
      <c r="M165" s="2"/>
      <c r="N165" s="2"/>
      <c r="O165" s="2"/>
      <c r="P165" s="2"/>
      <c r="R165" s="79"/>
    </row>
    <row r="166" spans="2:18" ht="12.75">
      <c r="B166" s="78"/>
      <c r="C166" s="2" t="s">
        <v>91</v>
      </c>
      <c r="D166" s="2"/>
      <c r="E166" s="2"/>
      <c r="F166" s="2"/>
      <c r="G166" s="2"/>
      <c r="H166" s="2"/>
      <c r="I166" s="2"/>
      <c r="J166" s="2"/>
      <c r="K166" s="2"/>
      <c r="L166" s="2"/>
      <c r="M166" s="2"/>
      <c r="N166" s="2"/>
      <c r="O166" s="2"/>
      <c r="P166" s="2"/>
      <c r="R166" s="79"/>
    </row>
    <row r="167" spans="2:18" ht="12.75">
      <c r="B167" s="78" t="s">
        <v>114</v>
      </c>
      <c r="C167" s="2"/>
      <c r="D167" s="2"/>
      <c r="E167" s="2"/>
      <c r="F167" s="2"/>
      <c r="G167" s="2"/>
      <c r="H167" s="2"/>
      <c r="I167" s="2"/>
      <c r="J167" s="2"/>
      <c r="K167" s="2"/>
      <c r="L167" s="2"/>
      <c r="M167" s="2"/>
      <c r="N167" s="2"/>
      <c r="O167" s="2"/>
      <c r="P167" s="2"/>
      <c r="R167" s="79"/>
    </row>
    <row r="168" spans="2:18" ht="12.75">
      <c r="B168" s="78"/>
      <c r="C168" s="2"/>
      <c r="D168" s="2"/>
      <c r="E168" s="2"/>
      <c r="F168" s="2"/>
      <c r="G168" s="2"/>
      <c r="H168" s="2"/>
      <c r="I168" s="2"/>
      <c r="J168" s="2"/>
      <c r="K168" s="2"/>
      <c r="L168" s="2"/>
      <c r="M168" s="2"/>
      <c r="N168" s="2"/>
      <c r="O168" s="2"/>
      <c r="P168" s="2"/>
      <c r="R168" s="79"/>
    </row>
    <row r="169" spans="2:18" ht="12.75">
      <c r="B169" s="78" t="s">
        <v>35</v>
      </c>
      <c r="C169" s="2"/>
      <c r="D169" s="2"/>
      <c r="E169" s="2"/>
      <c r="F169" s="2"/>
      <c r="G169" s="2"/>
      <c r="H169" s="2"/>
      <c r="I169" s="2"/>
      <c r="J169" s="2"/>
      <c r="K169" s="2"/>
      <c r="L169" s="2"/>
      <c r="M169" s="2"/>
      <c r="N169" s="2"/>
      <c r="O169" s="2"/>
      <c r="P169" s="2"/>
      <c r="R169" s="79"/>
    </row>
    <row r="170" spans="2:18" ht="12.75">
      <c r="B170" s="78" t="s">
        <v>54</v>
      </c>
      <c r="C170" s="2"/>
      <c r="D170" s="2"/>
      <c r="E170" s="2"/>
      <c r="F170" s="2"/>
      <c r="G170" s="2"/>
      <c r="H170" s="2"/>
      <c r="I170" s="2"/>
      <c r="J170" s="2"/>
      <c r="K170" s="2"/>
      <c r="L170" s="2"/>
      <c r="M170" s="2"/>
      <c r="N170" s="2"/>
      <c r="O170" s="2"/>
      <c r="P170" s="2"/>
      <c r="R170" s="79"/>
    </row>
    <row r="171" spans="2:18" ht="12.75">
      <c r="B171" s="78" t="s">
        <v>106</v>
      </c>
      <c r="C171" s="2"/>
      <c r="D171" s="2"/>
      <c r="E171" s="2"/>
      <c r="F171" s="2"/>
      <c r="G171" s="2"/>
      <c r="H171" s="2"/>
      <c r="I171" s="2"/>
      <c r="J171" s="2"/>
      <c r="K171" s="2"/>
      <c r="L171" s="2"/>
      <c r="M171" s="2"/>
      <c r="N171" s="2"/>
      <c r="O171" s="2"/>
      <c r="P171" s="2"/>
      <c r="R171" s="79"/>
    </row>
    <row r="172" spans="2:20" ht="12.75">
      <c r="B172" s="78"/>
      <c r="C172" s="2"/>
      <c r="D172" s="2"/>
      <c r="E172" s="2"/>
      <c r="F172" s="2"/>
      <c r="G172" s="2"/>
      <c r="H172" s="2"/>
      <c r="I172" s="2"/>
      <c r="J172" s="2"/>
      <c r="K172" s="2"/>
      <c r="L172" s="2"/>
      <c r="M172" s="2"/>
      <c r="N172" s="2"/>
      <c r="O172" s="2"/>
      <c r="P172" s="2"/>
      <c r="R172" s="79"/>
      <c r="T172" s="21" t="s">
        <v>88</v>
      </c>
    </row>
    <row r="173" spans="2:22" ht="12.75" customHeight="1">
      <c r="B173" s="83"/>
      <c r="C173" s="67"/>
      <c r="D173" s="114"/>
      <c r="E173" s="115"/>
      <c r="F173" s="223" t="s">
        <v>89</v>
      </c>
      <c r="G173" s="223"/>
      <c r="H173" s="223"/>
      <c r="I173" s="223"/>
      <c r="J173" s="67"/>
      <c r="K173" s="67"/>
      <c r="L173" s="67"/>
      <c r="M173" s="67"/>
      <c r="N173" s="67"/>
      <c r="O173" s="67"/>
      <c r="P173" s="67"/>
      <c r="Q173" s="67"/>
      <c r="R173" s="85"/>
      <c r="T173" s="160" t="s">
        <v>87</v>
      </c>
      <c r="U173" s="160" t="s">
        <v>87</v>
      </c>
      <c r="V173" s="160" t="s">
        <v>87</v>
      </c>
    </row>
    <row r="174" spans="2:22" ht="12.75">
      <c r="B174" s="83"/>
      <c r="C174" s="57" t="s">
        <v>51</v>
      </c>
      <c r="D174" s="55" t="s">
        <v>17</v>
      </c>
      <c r="E174" s="58" t="s">
        <v>120</v>
      </c>
      <c r="F174" s="236" t="str">
        <f>"SD, with "&amp;E176&amp;"% compatibility interval"</f>
        <v>SD, with 90% compatibility interval</v>
      </c>
      <c r="G174" s="187"/>
      <c r="H174" s="186" t="str">
        <f>"SD, with ~×/÷"&amp;E176&amp;"% compatibility limits"</f>
        <v>SD, with ~×/÷90% compatibility limits</v>
      </c>
      <c r="I174" s="187"/>
      <c r="J174" s="67"/>
      <c r="K174" s="67"/>
      <c r="L174" s="67"/>
      <c r="M174" s="67"/>
      <c r="N174" s="67"/>
      <c r="O174" s="67"/>
      <c r="P174" s="67"/>
      <c r="Q174" s="67"/>
      <c r="R174" s="85"/>
      <c r="T174" s="233" t="s">
        <v>108</v>
      </c>
      <c r="U174" s="234"/>
      <c r="V174" s="235"/>
    </row>
    <row r="175" spans="2:22" ht="12.75">
      <c r="B175" s="83"/>
      <c r="C175" s="45" t="s">
        <v>36</v>
      </c>
      <c r="D175" s="59" t="s">
        <v>19</v>
      </c>
      <c r="E175" s="56" t="s">
        <v>20</v>
      </c>
      <c r="F175" s="237"/>
      <c r="G175" s="189"/>
      <c r="H175" s="188"/>
      <c r="I175" s="189"/>
      <c r="J175" s="67"/>
      <c r="K175" s="67"/>
      <c r="L175" s="67"/>
      <c r="M175" s="67"/>
      <c r="N175" s="67"/>
      <c r="O175" s="67"/>
      <c r="P175" s="67"/>
      <c r="Q175" s="67"/>
      <c r="R175" s="85"/>
      <c r="T175" s="22" t="s">
        <v>37</v>
      </c>
      <c r="U175" s="23" t="s">
        <v>38</v>
      </c>
      <c r="V175" s="54" t="s">
        <v>25</v>
      </c>
    </row>
    <row r="176" spans="2:22" ht="12.75">
      <c r="B176" s="83"/>
      <c r="C176" s="30">
        <v>7.3</v>
      </c>
      <c r="D176" s="29">
        <v>19</v>
      </c>
      <c r="E176" s="39">
        <f>$H$31</f>
        <v>90</v>
      </c>
      <c r="F176" s="228" t="str">
        <f>ROUND(C176,1-INT(IF(ISERROR(LOG10(ABS(C176))),0,LOG10(ABS(C176)))))&amp;", "&amp;ROUND(T176,1-INT(IF(ISERROR(LOG10(ABS(T176))),0,LOG10(ABS(T176)))))&amp;" to "&amp;ROUND(U176,1-INT(IF(ISERROR(LOG10(ABS(U176))),0,LOG10(ABS(U176)))))</f>
        <v>7.3, 5.8 to 10</v>
      </c>
      <c r="G176" s="229"/>
      <c r="H176" s="228" t="str">
        <f>ROUND(C176,1-INT(IF(ISERROR(LOG10(ABS(C176))),0,LOG10(ABS(C176)))))&amp;", ×/÷"&amp;ROUND(V176,2)</f>
        <v>7.3, ×/÷1.31</v>
      </c>
      <c r="I176" s="229"/>
      <c r="J176" s="67"/>
      <c r="K176" s="67"/>
      <c r="L176" s="67"/>
      <c r="M176" s="67"/>
      <c r="N176" s="67"/>
      <c r="O176" s="67"/>
      <c r="P176" s="67"/>
      <c r="Q176" s="67"/>
      <c r="R176" s="85"/>
      <c r="T176" s="167">
        <f>SQRT(D176*C176^2/CHIINV((100-E176)/100/2,D176))</f>
        <v>5.795656344521561</v>
      </c>
      <c r="U176" s="168">
        <f>SQRT(D176*C176^2/CHIINV(1-(100-E176)/100/2,D176))</f>
        <v>10.003995903080297</v>
      </c>
      <c r="V176" s="166">
        <f>SQRT(U176/T176)</f>
        <v>1.3138187018590246</v>
      </c>
    </row>
    <row r="177" spans="2:20" ht="12.75">
      <c r="B177" s="83"/>
      <c r="C177" s="120"/>
      <c r="D177" s="121"/>
      <c r="E177" s="122"/>
      <c r="F177" s="67"/>
      <c r="G177" s="67"/>
      <c r="H177" s="67"/>
      <c r="I177" s="67"/>
      <c r="J177" s="67"/>
      <c r="K177" s="67"/>
      <c r="L177" s="67"/>
      <c r="M177" s="67"/>
      <c r="N177" s="67"/>
      <c r="O177" s="67"/>
      <c r="P177" s="67"/>
      <c r="Q177" s="67"/>
      <c r="R177" s="123"/>
      <c r="S177" s="46"/>
      <c r="T177" s="48"/>
    </row>
    <row r="178" spans="2:22" ht="12.75">
      <c r="B178" s="83"/>
      <c r="C178" s="57" t="s">
        <v>51</v>
      </c>
      <c r="D178" s="55" t="s">
        <v>17</v>
      </c>
      <c r="E178" s="58" t="s">
        <v>120</v>
      </c>
      <c r="F178" s="236" t="str">
        <f>"SD, with "&amp;E180&amp;"% compatibility interval"</f>
        <v>SD, with 90% compatibility interval</v>
      </c>
      <c r="G178" s="187"/>
      <c r="H178" s="186" t="str">
        <f>"SD, with ~×/÷"&amp;E180&amp;"% compatibility limits"</f>
        <v>SD, with ~×/÷90% compatibility limits</v>
      </c>
      <c r="I178" s="187"/>
      <c r="J178" s="67"/>
      <c r="K178" s="67"/>
      <c r="L178" s="67"/>
      <c r="M178" s="67"/>
      <c r="N178" s="67"/>
      <c r="O178" s="67"/>
      <c r="P178" s="67"/>
      <c r="Q178" s="67"/>
      <c r="R178" s="85"/>
      <c r="T178" s="233" t="s">
        <v>108</v>
      </c>
      <c r="U178" s="234"/>
      <c r="V178" s="235"/>
    </row>
    <row r="179" spans="2:22" ht="12.75">
      <c r="B179" s="83"/>
      <c r="C179" s="45" t="s">
        <v>36</v>
      </c>
      <c r="D179" s="59" t="s">
        <v>19</v>
      </c>
      <c r="E179" s="56" t="s">
        <v>20</v>
      </c>
      <c r="F179" s="237"/>
      <c r="G179" s="189"/>
      <c r="H179" s="188"/>
      <c r="I179" s="189"/>
      <c r="J179" s="67"/>
      <c r="K179" s="67"/>
      <c r="L179" s="67"/>
      <c r="M179" s="67"/>
      <c r="N179" s="67"/>
      <c r="O179" s="67"/>
      <c r="P179" s="67"/>
      <c r="Q179" s="67"/>
      <c r="R179" s="85"/>
      <c r="T179" s="22" t="s">
        <v>37</v>
      </c>
      <c r="U179" s="23" t="s">
        <v>38</v>
      </c>
      <c r="V179" s="54" t="s">
        <v>25</v>
      </c>
    </row>
    <row r="180" spans="2:22" ht="12.75">
      <c r="B180" s="83"/>
      <c r="C180" s="30"/>
      <c r="D180" s="29"/>
      <c r="E180" s="39">
        <f>$H$31</f>
        <v>90</v>
      </c>
      <c r="F180" s="228" t="e">
        <f>ROUND(C180,1-INT(IF(ISERROR(LOG10(ABS(C180))),0,LOG10(ABS(C180)))))&amp;", "&amp;ROUND(T180,1-INT(IF(ISERROR(LOG10(ABS(T180))),0,LOG10(ABS(T180)))))&amp;" to "&amp;ROUND(U180,1-INT(IF(ISERROR(LOG10(ABS(U180))),0,LOG10(ABS(U180)))))</f>
        <v>#NUM!</v>
      </c>
      <c r="G180" s="229"/>
      <c r="H180" s="228" t="e">
        <f>ROUND(C180,1-INT(IF(ISERROR(LOG10(ABS(C180))),0,LOG10(ABS(C180)))))&amp;", ×/÷"&amp;ROUND(V180,2)</f>
        <v>#NUM!</v>
      </c>
      <c r="I180" s="229"/>
      <c r="J180" s="67"/>
      <c r="K180" s="67"/>
      <c r="L180" s="67"/>
      <c r="M180" s="67"/>
      <c r="N180" s="67"/>
      <c r="O180" s="67"/>
      <c r="P180" s="67"/>
      <c r="Q180" s="67"/>
      <c r="R180" s="85"/>
      <c r="T180" s="167" t="e">
        <f>SQRT(D180*C180^2/CHIINV((100-E180)/100/2,D180))</f>
        <v>#NUM!</v>
      </c>
      <c r="U180" s="168" t="e">
        <f>SQRT(D180*C180^2/CHIINV(1-(100-E180)/100/2,D180))</f>
        <v>#NUM!</v>
      </c>
      <c r="V180" s="166" t="e">
        <f>SQRT(U180/T180)</f>
        <v>#NUM!</v>
      </c>
    </row>
    <row r="181" spans="2:20" ht="13.5" thickBot="1">
      <c r="B181" s="88"/>
      <c r="C181" s="89"/>
      <c r="D181" s="116"/>
      <c r="E181" s="117"/>
      <c r="F181" s="118"/>
      <c r="G181" s="89"/>
      <c r="H181" s="89"/>
      <c r="I181" s="89"/>
      <c r="J181" s="89"/>
      <c r="K181" s="89"/>
      <c r="L181" s="89"/>
      <c r="M181" s="89"/>
      <c r="N181" s="89"/>
      <c r="O181" s="89"/>
      <c r="P181" s="89"/>
      <c r="Q181" s="89"/>
      <c r="R181" s="119"/>
      <c r="S181" s="46"/>
      <c r="T181" s="48"/>
    </row>
  </sheetData>
  <sheetProtection/>
  <mergeCells count="178">
    <mergeCell ref="F173:I173"/>
    <mergeCell ref="X111:Y112"/>
    <mergeCell ref="M105:R105"/>
    <mergeCell ref="I108:J108"/>
    <mergeCell ref="K108:L108"/>
    <mergeCell ref="C109:L109"/>
    <mergeCell ref="M109:N109"/>
    <mergeCell ref="D105:D107"/>
    <mergeCell ref="E105:E107"/>
    <mergeCell ref="K106:L107"/>
    <mergeCell ref="Q90:R90"/>
    <mergeCell ref="M86:R86"/>
    <mergeCell ref="M87:N88"/>
    <mergeCell ref="O87:P88"/>
    <mergeCell ref="Q87:R88"/>
    <mergeCell ref="B3:E3"/>
    <mergeCell ref="B4:E4"/>
    <mergeCell ref="F86:F88"/>
    <mergeCell ref="C90:L90"/>
    <mergeCell ref="E80:E82"/>
    <mergeCell ref="M106:N107"/>
    <mergeCell ref="O106:P107"/>
    <mergeCell ref="I86:L86"/>
    <mergeCell ref="I87:J88"/>
    <mergeCell ref="I104:L104"/>
    <mergeCell ref="C105:C107"/>
    <mergeCell ref="F105:F107"/>
    <mergeCell ref="G105:H105"/>
    <mergeCell ref="I105:L105"/>
    <mergeCell ref="G86:H86"/>
    <mergeCell ref="M90:N90"/>
    <mergeCell ref="O90:P90"/>
    <mergeCell ref="C86:C88"/>
    <mergeCell ref="D86:D88"/>
    <mergeCell ref="K87:L88"/>
    <mergeCell ref="E86:E88"/>
    <mergeCell ref="K89:L89"/>
    <mergeCell ref="Q84:R84"/>
    <mergeCell ref="I83:J83"/>
    <mergeCell ref="K83:L83"/>
    <mergeCell ref="X105:Y106"/>
    <mergeCell ref="T106:V106"/>
    <mergeCell ref="I106:J107"/>
    <mergeCell ref="T87:V87"/>
    <mergeCell ref="I89:J89"/>
    <mergeCell ref="M84:N84"/>
    <mergeCell ref="O84:P84"/>
    <mergeCell ref="I80:L80"/>
    <mergeCell ref="K81:L82"/>
    <mergeCell ref="C84:L84"/>
    <mergeCell ref="I81:J82"/>
    <mergeCell ref="B15:K15"/>
    <mergeCell ref="I79:L79"/>
    <mergeCell ref="F80:F82"/>
    <mergeCell ref="I59:M59"/>
    <mergeCell ref="K127:L127"/>
    <mergeCell ref="D124:D126"/>
    <mergeCell ref="Q81:R82"/>
    <mergeCell ref="T81:V81"/>
    <mergeCell ref="C80:C82"/>
    <mergeCell ref="M80:R80"/>
    <mergeCell ref="M81:N82"/>
    <mergeCell ref="O81:P82"/>
    <mergeCell ref="D80:D82"/>
    <mergeCell ref="G80:H80"/>
    <mergeCell ref="F178:G179"/>
    <mergeCell ref="H178:I179"/>
    <mergeCell ref="X130:Y131"/>
    <mergeCell ref="T131:V131"/>
    <mergeCell ref="B11:H11"/>
    <mergeCell ref="B13:H13"/>
    <mergeCell ref="B12:K12"/>
    <mergeCell ref="B14:E14"/>
    <mergeCell ref="M128:N128"/>
    <mergeCell ref="M131:N132"/>
    <mergeCell ref="T178:V178"/>
    <mergeCell ref="T149:V149"/>
    <mergeCell ref="Q149:R150"/>
    <mergeCell ref="M134:N134"/>
    <mergeCell ref="Q152:R152"/>
    <mergeCell ref="F174:G175"/>
    <mergeCell ref="H174:I175"/>
    <mergeCell ref="F176:G176"/>
    <mergeCell ref="H176:I176"/>
    <mergeCell ref="T174:V174"/>
    <mergeCell ref="Q128:R128"/>
    <mergeCell ref="X124:Y125"/>
    <mergeCell ref="O125:P126"/>
    <mergeCell ref="Q125:R126"/>
    <mergeCell ref="T125:V125"/>
    <mergeCell ref="M124:R124"/>
    <mergeCell ref="E148:E150"/>
    <mergeCell ref="T155:V155"/>
    <mergeCell ref="M154:R154"/>
    <mergeCell ref="M125:N126"/>
    <mergeCell ref="M148:R148"/>
    <mergeCell ref="Q134:R134"/>
    <mergeCell ref="M152:N152"/>
    <mergeCell ref="O134:P134"/>
    <mergeCell ref="O149:P150"/>
    <mergeCell ref="O128:P128"/>
    <mergeCell ref="I157:J157"/>
    <mergeCell ref="K157:L157"/>
    <mergeCell ref="K155:L156"/>
    <mergeCell ref="M130:R130"/>
    <mergeCell ref="O131:P132"/>
    <mergeCell ref="Q131:R132"/>
    <mergeCell ref="K131:L132"/>
    <mergeCell ref="I155:J156"/>
    <mergeCell ref="I154:L154"/>
    <mergeCell ref="I133:J133"/>
    <mergeCell ref="O158:P158"/>
    <mergeCell ref="M149:N150"/>
    <mergeCell ref="O152:P152"/>
    <mergeCell ref="I147:L147"/>
    <mergeCell ref="I131:J132"/>
    <mergeCell ref="Q158:R158"/>
    <mergeCell ref="Q155:R156"/>
    <mergeCell ref="M155:N156"/>
    <mergeCell ref="O155:P156"/>
    <mergeCell ref="M158:N158"/>
    <mergeCell ref="F180:G180"/>
    <mergeCell ref="I127:J127"/>
    <mergeCell ref="C158:L158"/>
    <mergeCell ref="C152:L152"/>
    <mergeCell ref="H180:I180"/>
    <mergeCell ref="C128:L128"/>
    <mergeCell ref="D130:D132"/>
    <mergeCell ref="E130:E132"/>
    <mergeCell ref="I130:L130"/>
    <mergeCell ref="D154:D156"/>
    <mergeCell ref="O112:P113"/>
    <mergeCell ref="F111:F113"/>
    <mergeCell ref="G111:H111"/>
    <mergeCell ref="F124:F126"/>
    <mergeCell ref="Q112:R113"/>
    <mergeCell ref="G124:H124"/>
    <mergeCell ref="I124:L124"/>
    <mergeCell ref="C154:C157"/>
    <mergeCell ref="D148:D150"/>
    <mergeCell ref="E154:E156"/>
    <mergeCell ref="F154:F156"/>
    <mergeCell ref="G154:H154"/>
    <mergeCell ref="T112:V112"/>
    <mergeCell ref="I114:J114"/>
    <mergeCell ref="K114:L114"/>
    <mergeCell ref="M115:N115"/>
    <mergeCell ref="O115:P115"/>
    <mergeCell ref="I151:J151"/>
    <mergeCell ref="C148:C151"/>
    <mergeCell ref="K151:L151"/>
    <mergeCell ref="I149:J150"/>
    <mergeCell ref="I125:J126"/>
    <mergeCell ref="K125:L126"/>
    <mergeCell ref="F148:F150"/>
    <mergeCell ref="G130:H130"/>
    <mergeCell ref="K133:L133"/>
    <mergeCell ref="C134:L134"/>
    <mergeCell ref="Q106:R107"/>
    <mergeCell ref="O109:P109"/>
    <mergeCell ref="Q109:R109"/>
    <mergeCell ref="M111:R111"/>
    <mergeCell ref="M112:N113"/>
    <mergeCell ref="F130:F132"/>
    <mergeCell ref="I111:L111"/>
    <mergeCell ref="I112:J113"/>
    <mergeCell ref="Q115:R115"/>
    <mergeCell ref="C115:L115"/>
    <mergeCell ref="F3:J3"/>
    <mergeCell ref="G148:H148"/>
    <mergeCell ref="I148:L148"/>
    <mergeCell ref="K149:L150"/>
    <mergeCell ref="C111:C113"/>
    <mergeCell ref="E124:E126"/>
    <mergeCell ref="K112:L113"/>
    <mergeCell ref="D111:D113"/>
    <mergeCell ref="E111:E113"/>
    <mergeCell ref="I123:L123"/>
  </mergeCells>
  <hyperlinks>
    <hyperlink ref="B11" location="Sheet1!A52" display="1. Difference between Means and other Normally Distributed Effect Statistics"/>
    <hyperlink ref="B14:E14" location="corrs" display="3  Correlation Coefficient"/>
    <hyperlink ref="B15:K15" location="SDs" display="4. Standard Deviation (SD), Coefficient of Variation (CV), or Root Mean Square Error (RMSE)"/>
    <hyperlink ref="B12:J12" location="logmeans" display="2.  Percent and Factor Difference between Means and other t-Distributed Effect Statistics"/>
    <hyperlink ref="B11:H11" location="means" display="1. Difference between Means and other t-Distributed Effect Statistics"/>
    <hyperlink ref="B13:H13" location="ratios" display="3. Rate Ratios and other Log-Normally Distributed Effect Statistics"/>
    <hyperlink ref="F3" r:id="rId1" display="Link to the Bayesian version of this spreadsheet."/>
    <hyperlink ref="F3:J3" r:id="rId2" display="Link to the Bayesian version of this spreadsheet."/>
  </hyperlinks>
  <printOptions/>
  <pageMargins left="0.75" right="0.75" top="1" bottom="1" header="0.5" footer="0.5"/>
  <pageSetup horizontalDpi="1200" verticalDpi="1200" orientation="portrait" paperSize="9"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Auckland University of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Reviewer</dc:creator>
  <cp:keywords/>
  <dc:description/>
  <cp:lastModifiedBy>Will</cp:lastModifiedBy>
  <dcterms:created xsi:type="dcterms:W3CDTF">2007-10-05T23:42:14Z</dcterms:created>
  <dcterms:modified xsi:type="dcterms:W3CDTF">2022-10-08T22:37:17Z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7dc88d9-fa17-47eb-a208-3e66f59d50e5_Enabled">
    <vt:lpwstr>true</vt:lpwstr>
  </property>
  <property fmtid="{D5CDD505-2E9C-101B-9397-08002B2CF9AE}" pid="3" name="MSIP_Label_d7dc88d9-fa17-47eb-a208-3e66f59d50e5_SetDate">
    <vt:lpwstr>2022-10-08T22:35:05Z</vt:lpwstr>
  </property>
  <property fmtid="{D5CDD505-2E9C-101B-9397-08002B2CF9AE}" pid="4" name="MSIP_Label_d7dc88d9-fa17-47eb-a208-3e66f59d50e5_Method">
    <vt:lpwstr>Standard</vt:lpwstr>
  </property>
  <property fmtid="{D5CDD505-2E9C-101B-9397-08002B2CF9AE}" pid="5" name="MSIP_Label_d7dc88d9-fa17-47eb-a208-3e66f59d50e5_Name">
    <vt:lpwstr>Internal</vt:lpwstr>
  </property>
  <property fmtid="{D5CDD505-2E9C-101B-9397-08002B2CF9AE}" pid="6" name="MSIP_Label_d7dc88d9-fa17-47eb-a208-3e66f59d50e5_SiteId">
    <vt:lpwstr>d51ba343-9258-4ea6-9907-426d8c84ec12</vt:lpwstr>
  </property>
  <property fmtid="{D5CDD505-2E9C-101B-9397-08002B2CF9AE}" pid="7" name="MSIP_Label_d7dc88d9-fa17-47eb-a208-3e66f59d50e5_ActionId">
    <vt:lpwstr>7de2742f-c780-4f70-a4c6-a7899437fe82</vt:lpwstr>
  </property>
  <property fmtid="{D5CDD505-2E9C-101B-9397-08002B2CF9AE}" pid="8" name="MSIP_Label_d7dc88d9-fa17-47eb-a208-3e66f59d50e5_ContentBits">
    <vt:lpwstr>0</vt:lpwstr>
  </property>
</Properties>
</file>